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drawingml.chart+xml" PartName="/xl/charts/chart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hidden" name="End of Life" sheetId="1" r:id="rId4"/>
    <sheet state="visible" name="Disclaimer" sheetId="2" r:id="rId5"/>
    <sheet state="visible" name="11-2 contribution" sheetId="3" r:id="rId6"/>
    <sheet state="hidden" name="Production" sheetId="4" r:id="rId7"/>
  </sheets>
  <definedNames/>
  <calcPr/>
  <extLst>
    <ext uri="GoogleSheetsCustomDataVersion1">
      <go:sheetsCustomData xmlns:go="http://customooxmlschemas.google.com/" r:id="rId8" roundtripDataSignature="AMtx7mi0PTZfSjnFSw4SZiwMuugd8hR/1A=="/>
    </ext>
  </extLst>
</workbook>
</file>

<file path=xl/sharedStrings.xml><?xml version="1.0" encoding="utf-8"?>
<sst xmlns="http://schemas.openxmlformats.org/spreadsheetml/2006/main" count="8212" uniqueCount="226">
  <si>
    <t>Assessment</t>
  </si>
  <si>
    <t>Element</t>
  </si>
  <si>
    <t>input</t>
  </si>
  <si>
    <t>Global warming (kg CO2e)</t>
  </si>
  <si>
    <t>Mineral resource scarcity (kg Cue)</t>
  </si>
  <si>
    <t>Energy consumption (Mj)</t>
  </si>
  <si>
    <t>Water consumption (m3)</t>
  </si>
  <si>
    <t>Marine eutrophication (kg Ne)</t>
  </si>
  <si>
    <t>A2</t>
  </si>
  <si>
    <t>Manufacturing Sails (simplified)</t>
  </si>
  <si>
    <t>SUB-TOTAL</t>
  </si>
  <si>
    <t>Manufacturing Sails (advanced)</t>
  </si>
  <si>
    <t>Skin fibre</t>
  </si>
  <si>
    <t>Skin bonding layer</t>
  </si>
  <si>
    <t>Sail finishing process</t>
  </si>
  <si>
    <t>Sail signage</t>
  </si>
  <si>
    <t>Consumables</t>
  </si>
  <si>
    <t>Utilities</t>
  </si>
  <si>
    <t>Transport</t>
  </si>
  <si>
    <t>A7</t>
  </si>
  <si>
    <t>Ballast Pipes</t>
  </si>
  <si>
    <t>Plug</t>
  </si>
  <si>
    <t>Mould</t>
  </si>
  <si>
    <t>Manufacturing Composites</t>
  </si>
  <si>
    <t>Part dry fibre</t>
  </si>
  <si>
    <t>Part resin</t>
  </si>
  <si>
    <t>Part laminating process</t>
  </si>
  <si>
    <t>Part consumables</t>
  </si>
  <si>
    <t>Part utilities</t>
  </si>
  <si>
    <t>Assembly Composites</t>
  </si>
  <si>
    <t>Ballasts pannels</t>
  </si>
  <si>
    <t>Part core</t>
  </si>
  <si>
    <t>Part prepreg process</t>
  </si>
  <si>
    <t>Part prepreg cure</t>
  </si>
  <si>
    <t>Assembly dry fibre</t>
  </si>
  <si>
    <t>Assembly resin</t>
  </si>
  <si>
    <t>Assembly laminating process</t>
  </si>
  <si>
    <t>Batteries</t>
  </si>
  <si>
    <t>Electrical System</t>
  </si>
  <si>
    <t>Electrical Hardware</t>
  </si>
  <si>
    <t>Boom</t>
  </si>
  <si>
    <t>Plug material</t>
  </si>
  <si>
    <t>Plug dry fibre</t>
  </si>
  <si>
    <t>Plug resin</t>
  </si>
  <si>
    <t>Plug consumables</t>
  </si>
  <si>
    <t>Plug utilities</t>
  </si>
  <si>
    <t>Part CNC operation</t>
  </si>
  <si>
    <t>Boom air freight</t>
  </si>
  <si>
    <t>Use Phase - Logistic</t>
  </si>
  <si>
    <t>Packaging</t>
  </si>
  <si>
    <t>Air transport (t*km)</t>
  </si>
  <si>
    <t>Use Phase - Passenger</t>
  </si>
  <si>
    <t>Boom hardware</t>
  </si>
  <si>
    <t>Manufacturing Metal Parts</t>
  </si>
  <si>
    <t>Material</t>
  </si>
  <si>
    <t>Yard utilities</t>
  </si>
  <si>
    <t>Bowsprit</t>
  </si>
  <si>
    <t>Plug laminating process</t>
  </si>
  <si>
    <t>Plug CNC operation</t>
  </si>
  <si>
    <t>Transport of finished plug</t>
  </si>
  <si>
    <t>Mould material</t>
  </si>
  <si>
    <t>Mould dry fibre</t>
  </si>
  <si>
    <t>Mould resin</t>
  </si>
  <si>
    <t>Mould laminating process</t>
  </si>
  <si>
    <t>Mould release prep</t>
  </si>
  <si>
    <t>Mould postcure</t>
  </si>
  <si>
    <t>Mould consumables</t>
  </si>
  <si>
    <t>Mould utilities</t>
  </si>
  <si>
    <t>Transport of finished mould</t>
  </si>
  <si>
    <t>Bulkheads</t>
  </si>
  <si>
    <t>Manufacturing</t>
  </si>
  <si>
    <t>Assembly</t>
  </si>
  <si>
    <t>Cables</t>
  </si>
  <si>
    <t>Chainplates</t>
  </si>
  <si>
    <t>Coachroof</t>
  </si>
  <si>
    <t>Cockpit</t>
  </si>
  <si>
    <t>Computers and Navigation systems</t>
  </si>
  <si>
    <t>Consum/Utilities</t>
  </si>
  <si>
    <t>Deck</t>
  </si>
  <si>
    <t>Deck Gear</t>
  </si>
  <si>
    <t>Deck Hardware System</t>
  </si>
  <si>
    <t>Deck Hardware</t>
  </si>
  <si>
    <t>Transport of finished part</t>
  </si>
  <si>
    <t>Deck Hydraulic System</t>
  </si>
  <si>
    <t>Hydraulic System</t>
  </si>
  <si>
    <t>Hydraulic Hardware</t>
  </si>
  <si>
    <t>Deck Mock up</t>
  </si>
  <si>
    <t>Manufacturing Timber</t>
  </si>
  <si>
    <t>Part material</t>
  </si>
  <si>
    <t>Assembly Timber</t>
  </si>
  <si>
    <t>Deck mock up modifications</t>
  </si>
  <si>
    <t>Deck mould</t>
  </si>
  <si>
    <t>Mould core</t>
  </si>
  <si>
    <t>Deck plug</t>
  </si>
  <si>
    <t>Plug postcure</t>
  </si>
  <si>
    <t>design</t>
  </si>
  <si>
    <t>Design Phase - Utilities</t>
  </si>
  <si>
    <t>Design electricity (kWh)</t>
  </si>
  <si>
    <t>Design Phase - Transport</t>
  </si>
  <si>
    <t>Displays</t>
  </si>
  <si>
    <t>Electric Motor</t>
  </si>
  <si>
    <t>Auxiliary Fittings</t>
  </si>
  <si>
    <t>Engine</t>
  </si>
  <si>
    <t>Propulsion System</t>
  </si>
  <si>
    <t>Propulsion Hardware</t>
  </si>
  <si>
    <t>Foil case structure</t>
  </si>
  <si>
    <t>Foil cases</t>
  </si>
  <si>
    <t>Foil set</t>
  </si>
  <si>
    <t>FR0</t>
  </si>
  <si>
    <t>Furlers</t>
  </si>
  <si>
    <t>Part packaging</t>
  </si>
  <si>
    <t>Hatches</t>
  </si>
  <si>
    <t>Hull</t>
  </si>
  <si>
    <t>Hull Deck assembly</t>
  </si>
  <si>
    <t>Hull mould</t>
  </si>
  <si>
    <t>Hull plug</t>
  </si>
  <si>
    <t>J0</t>
  </si>
  <si>
    <t>Sail hardware</t>
  </si>
  <si>
    <t>J15</t>
  </si>
  <si>
    <t>J2</t>
  </si>
  <si>
    <t>J3</t>
  </si>
  <si>
    <t>Keel Bearings</t>
  </si>
  <si>
    <t>Final machining process</t>
  </si>
  <si>
    <t>Heat treatment process</t>
  </si>
  <si>
    <t>Yard consumables</t>
  </si>
  <si>
    <t>Keel box</t>
  </si>
  <si>
    <t>Keel Bulb</t>
  </si>
  <si>
    <t>Keel fin</t>
  </si>
  <si>
    <t>Pre-machining process</t>
  </si>
  <si>
    <t>Keel Hydraulic System</t>
  </si>
  <si>
    <t>Keel tower</t>
  </si>
  <si>
    <t>Keel trailing edge</t>
  </si>
  <si>
    <t>Assembly utilities</t>
  </si>
  <si>
    <t>Life Lines and Pulpits</t>
  </si>
  <si>
    <t>Longitudinal girders</t>
  </si>
  <si>
    <t>Main sail</t>
  </si>
  <si>
    <t>Mast</t>
  </si>
  <si>
    <t>MH0</t>
  </si>
  <si>
    <t>Other electronics - Ballast &amp; bilge systems, solar, watermaker</t>
  </si>
  <si>
    <t>Outrigger</t>
  </si>
  <si>
    <t>Outrigger hardware</t>
  </si>
  <si>
    <t>Painting</t>
  </si>
  <si>
    <t>Paint material</t>
  </si>
  <si>
    <t>Painting utilities</t>
  </si>
  <si>
    <t>Rigging core</t>
  </si>
  <si>
    <t>Running Rigging</t>
  </si>
  <si>
    <t>Materials</t>
  </si>
  <si>
    <t>Hardware</t>
  </si>
  <si>
    <t>Standing Rigging</t>
  </si>
  <si>
    <t>Rigging covers</t>
  </si>
  <si>
    <t>Rudder</t>
  </si>
  <si>
    <t>Rudder case</t>
  </si>
  <si>
    <t>Rudder moulds</t>
  </si>
  <si>
    <t>Mould CNC operation</t>
  </si>
  <si>
    <t>Sensors</t>
  </si>
  <si>
    <t>Standing rigging</t>
  </si>
  <si>
    <t>Steering System</t>
  </si>
  <si>
    <t>Storm sail</t>
  </si>
  <si>
    <t>TUNNEL</t>
  </si>
  <si>
    <t>Winch pods</t>
  </si>
  <si>
    <t>Winches &amp; Transmission</t>
  </si>
  <si>
    <t>FINAL TOTAL</t>
  </si>
  <si>
    <t>11th Hour Racing Team</t>
  </si>
  <si>
    <t>Sustainable Design and Build Report - 2021</t>
  </si>
  <si>
    <t>11.2 LCA Results</t>
  </si>
  <si>
    <r>
      <rPr>
        <rFont val="Montserrat"/>
        <color theme="1"/>
        <sz val="10.0"/>
      </rPr>
      <t xml:space="preserve">Supporting the main report, this document - </t>
    </r>
    <r>
      <rPr>
        <rFont val="Montserrat"/>
        <b/>
        <color theme="1"/>
        <sz val="10.0"/>
      </rPr>
      <t>11-2 LCA Results</t>
    </r>
    <r>
      <rPr>
        <rFont val="Montserrat"/>
        <color theme="1"/>
        <sz val="10.0"/>
      </rPr>
      <t>, 
includes all output results from the life cycle analysis of
the design and build of a new IMOCA, launched and ready to sail.
GHG is measured in kgC02e or tC02e, kilos or metric tons of carbon dioxide equivalent.</t>
    </r>
  </si>
  <si>
    <t>Date &amp; version: 14th October 2021</t>
  </si>
  <si>
    <t>sustainability@1degree.us</t>
  </si>
  <si>
    <r>
      <rPr>
        <rFont val="Montserrat"/>
        <b/>
        <color rgb="FF000000"/>
        <sz val="10.0"/>
      </rPr>
      <t>DISCLAIMER</t>
    </r>
    <r>
      <rPr>
        <rFont val="Montserrat"/>
        <color rgb="FF000000"/>
        <sz val="10.0"/>
      </rPr>
      <t xml:space="preserve"> 
The team’s LCA results were calculated using MarineShift360. 
Backed by 11th Hour Racing as Founding Sponsor, MarineShift360 is a purpose-built marine industry life cycle assessment tool. MarineShift360 is an ISO 14040:2006 &amp; ISO 14044:2006 compliant and certified life cycle assessment tool. LCA results herein are calculated using MarineShift360, which is under development and is currently in beta stage. 
No statements regarding accuracy are made and results may change over time as the development of MarineShift360 continues.</t>
    </r>
  </si>
  <si>
    <t>Calculated with MarineShift360 beta software on September 1, 2021</t>
  </si>
  <si>
    <t>Life cycle stages</t>
  </si>
  <si>
    <t>Manufacturing processes</t>
  </si>
  <si>
    <t>EOL</t>
  </si>
  <si>
    <t>Total</t>
  </si>
  <si>
    <t>Ballast pipes</t>
  </si>
  <si>
    <t>Ballast panels</t>
  </si>
  <si>
    <t>Boom
air freight</t>
  </si>
  <si>
    <t>Boom
hardware</t>
  </si>
  <si>
    <t>Computers and 
navigation
systems</t>
  </si>
  <si>
    <t>Consume/
utilities</t>
  </si>
  <si>
    <t>Deck gear</t>
  </si>
  <si>
    <t>Deck
hydraulic 
system</t>
  </si>
  <si>
    <t>Deck mock-up</t>
  </si>
  <si>
    <t>Deck mock-up 
modifications</t>
  </si>
  <si>
    <t>Design</t>
  </si>
  <si>
    <t>Electric motor</t>
  </si>
  <si>
    <t>Foil case
structure</t>
  </si>
  <si>
    <t>FRO</t>
  </si>
  <si>
    <t>Hull Deck 
assembly</t>
  </si>
  <si>
    <t>Keel bearings</t>
  </si>
  <si>
    <t>Keel bulb</t>
  </si>
  <si>
    <t>Keel 
hydraulic
system</t>
  </si>
  <si>
    <t>Keel
trailing edge</t>
  </si>
  <si>
    <t>Life lines 
and pulpits</t>
  </si>
  <si>
    <t>Longitudinal
girders</t>
  </si>
  <si>
    <t>Other
electronics</t>
  </si>
  <si>
    <t>Outrigger and
hardware</t>
  </si>
  <si>
    <t>Rudder
moulds</t>
  </si>
  <si>
    <t>Standing
rigging</t>
  </si>
  <si>
    <t>Steering
system</t>
  </si>
  <si>
    <t>Tunnel</t>
  </si>
  <si>
    <t>Winchpods</t>
  </si>
  <si>
    <t>Winches &amp; transmission</t>
  </si>
  <si>
    <t>Global Warming Potential (kg CO2-e)</t>
  </si>
  <si>
    <t>Mineral Resource Scarcity (kg Cu-e)</t>
  </si>
  <si>
    <t>Energy Consumption (MJ)</t>
  </si>
  <si>
    <t>Water Consumption (m3)</t>
  </si>
  <si>
    <t>Marine Eutrophication (kg N-e)</t>
  </si>
  <si>
    <t>Manufacturing Sails (advanced)(transport)</t>
  </si>
  <si>
    <t>Manufacturing Composites(transport)</t>
  </si>
  <si>
    <t>Assembly Composites(transport)</t>
  </si>
  <si>
    <t>Electrical System(transport)</t>
  </si>
  <si>
    <t>Plug(transport)</t>
  </si>
  <si>
    <t>Manufacturing Metal Parts(transport)</t>
  </si>
  <si>
    <t>Mould(transport)</t>
  </si>
  <si>
    <t>Manufacturing(transport)</t>
  </si>
  <si>
    <t>Assembly(transport)</t>
  </si>
  <si>
    <t>Deck Hardware System(transport)</t>
  </si>
  <si>
    <t>Transport(transport)</t>
  </si>
  <si>
    <t>Hydraulic System(transport)</t>
  </si>
  <si>
    <t>Manufacturing Timber(transport)</t>
  </si>
  <si>
    <t>Design Phase - Utilities(transport)</t>
  </si>
  <si>
    <t>Propulsion System(transport)</t>
  </si>
  <si>
    <t>Painting(transport)</t>
  </si>
  <si>
    <t>Running Rigging(transport)</t>
  </si>
  <si>
    <t>Standing Rigging(transport)</t>
  </si>
</sst>
</file>

<file path=xl/styles.xml><?xml version="1.0" encoding="utf-8"?>
<styleSheet xmlns="http://schemas.openxmlformats.org/spreadsheetml/2006/main" xmlns:x14ac="http://schemas.microsoft.com/office/spreadsheetml/2009/9/ac" xmlns:mc="http://schemas.openxmlformats.org/markup-compatibility/2006">
  <fonts count="15">
    <font>
      <sz val="11.0"/>
      <color theme="1"/>
      <name val="Arial"/>
    </font>
    <font>
      <b/>
      <sz val="11.0"/>
      <color theme="1"/>
      <name val="Calibri"/>
    </font>
    <font>
      <sz val="11.0"/>
      <color theme="1"/>
      <name val="Calibri"/>
    </font>
    <font>
      <b/>
      <sz val="18.0"/>
      <color theme="1"/>
      <name val="Montserrat"/>
    </font>
    <font/>
    <font>
      <b/>
      <sz val="18.0"/>
      <color rgb="FF000000"/>
      <name val="Montserrat"/>
    </font>
    <font>
      <b/>
      <sz val="10.0"/>
      <color theme="1"/>
      <name val="Montserrat"/>
    </font>
    <font>
      <sz val="10.0"/>
      <color theme="1"/>
      <name val="Montserrat"/>
    </font>
    <font>
      <sz val="10.0"/>
      <color rgb="FF000000"/>
      <name val="Montserrat"/>
    </font>
    <font>
      <sz val="18.0"/>
      <color rgb="FFFFFFFF"/>
      <name val="Montserrat"/>
    </font>
    <font>
      <b/>
      <sz val="11.0"/>
      <color rgb="FFEEECE1"/>
      <name val="Calibri"/>
    </font>
    <font>
      <sz val="11.0"/>
      <color theme="1"/>
      <name val="Montserrat"/>
    </font>
    <font>
      <b/>
      <sz val="11.0"/>
      <color rgb="FFFFFFFF"/>
      <name val="Montserrat"/>
    </font>
    <font>
      <sz val="18.0"/>
      <color theme="1"/>
      <name val="Arial"/>
    </font>
    <font>
      <sz val="11.0"/>
      <color rgb="FF000000"/>
      <name val="Calibri"/>
    </font>
  </fonts>
  <fills count="7">
    <fill>
      <patternFill patternType="none"/>
    </fill>
    <fill>
      <patternFill patternType="lightGray"/>
    </fill>
    <fill>
      <patternFill patternType="solid">
        <fgColor rgb="FFFFFFFF"/>
        <bgColor rgb="FFFFFFFF"/>
      </patternFill>
    </fill>
    <fill>
      <patternFill patternType="solid">
        <fgColor theme="1"/>
        <bgColor theme="1"/>
      </patternFill>
    </fill>
    <fill>
      <patternFill patternType="solid">
        <fgColor rgb="FF020E22"/>
        <bgColor rgb="FF020E22"/>
      </patternFill>
    </fill>
    <fill>
      <patternFill patternType="solid">
        <fgColor rgb="FFEEECE1"/>
        <bgColor rgb="FFEEECE1"/>
      </patternFill>
    </fill>
    <fill>
      <patternFill patternType="solid">
        <fgColor rgb="FF0078BA"/>
        <bgColor rgb="FF0078BA"/>
      </patternFill>
    </fill>
  </fills>
  <borders count="35">
    <border/>
    <border>
      <left style="thin">
        <color rgb="FFFFFFFF"/>
      </left>
      <right style="thin">
        <color rgb="FFFFFFFF"/>
      </right>
      <top style="thin">
        <color rgb="FFFFFFFF"/>
      </top>
      <bottom style="thin">
        <color rgb="FFFFFFFF"/>
      </bottom>
    </border>
    <border>
      <left style="thin">
        <color rgb="FFFFFFFF"/>
      </left>
      <right style="thin">
        <color rgb="FFFFFFFF"/>
      </right>
      <top style="thin">
        <color rgb="FFFFFFFF"/>
      </top>
    </border>
    <border>
      <left style="thin">
        <color rgb="FFFFFFFF"/>
      </left>
      <top style="thin">
        <color rgb="FFFFFFFF"/>
      </top>
      <bottom style="thin">
        <color rgb="FFFFFFFF"/>
      </bottom>
    </border>
    <border>
      <left style="thin">
        <color rgb="FF000000"/>
      </left>
      <right style="thin">
        <color rgb="FFFFFFFF"/>
      </right>
      <top style="thin">
        <color rgb="FF000000"/>
      </top>
      <bottom style="thin">
        <color rgb="FFFFFFFF"/>
      </bottom>
    </border>
    <border>
      <left style="thin">
        <color rgb="FFFFFFFF"/>
      </left>
      <right style="thin">
        <color rgb="FFFFFFFF"/>
      </right>
      <top style="thin">
        <color rgb="FF000000"/>
      </top>
      <bottom style="thin">
        <color rgb="FFFFFFFF"/>
      </bottom>
    </border>
    <border>
      <left style="thin">
        <color rgb="FFFFFFFF"/>
      </left>
      <right style="thin">
        <color rgb="FF000000"/>
      </right>
      <top style="thin">
        <color rgb="FF000000"/>
      </top>
      <bottom style="thin">
        <color rgb="FFFFFFFF"/>
      </bottom>
    </border>
    <border>
      <right style="thin">
        <color rgb="FFFFFFFF"/>
      </right>
      <top style="thin">
        <color rgb="FFFFFFFF"/>
      </top>
      <bottom style="thin">
        <color rgb="FFFFFFFF"/>
      </bottom>
    </border>
    <border>
      <left style="thin">
        <color rgb="FF000000"/>
      </left>
      <top style="thin">
        <color rgb="FFFFFFFF"/>
      </top>
    </border>
    <border>
      <top style="thin">
        <color rgb="FFFFFFFF"/>
      </top>
    </border>
    <border>
      <right style="thin">
        <color rgb="FF000000"/>
      </right>
      <top style="thin">
        <color rgb="FFFFFFFF"/>
      </top>
    </border>
    <border>
      <left style="thin">
        <color rgb="FF000000"/>
      </left>
      <bottom style="thin">
        <color rgb="FFFFFFFF"/>
      </bottom>
    </border>
    <border>
      <bottom style="thin">
        <color rgb="FFFFFFFF"/>
      </bottom>
    </border>
    <border>
      <right style="thin">
        <color rgb="FF000000"/>
      </right>
      <bottom style="thin">
        <color rgb="FFFFFFFF"/>
      </bottom>
    </border>
    <border>
      <left style="thin">
        <color rgb="FF000000"/>
      </left>
    </border>
    <border>
      <right style="thin">
        <color rgb="FF000000"/>
      </right>
    </border>
    <border>
      <left style="thin">
        <color rgb="FF000000"/>
      </left>
      <top style="thin">
        <color rgb="FFFFFFFF"/>
      </top>
      <bottom style="thin">
        <color rgb="FFFFFFFF"/>
      </bottom>
    </border>
    <border>
      <top style="thin">
        <color rgb="FFFFFFFF"/>
      </top>
      <bottom style="thin">
        <color rgb="FFFFFFFF"/>
      </bottom>
    </border>
    <border>
      <right style="thin">
        <color rgb="FF000000"/>
      </right>
      <top style="thin">
        <color rgb="FFFFFFFF"/>
      </top>
      <bottom style="thin">
        <color rgb="FFFFFFFF"/>
      </bottom>
    </border>
    <border>
      <left style="thin">
        <color rgb="FF000000"/>
      </left>
      <right style="thin">
        <color rgb="FFFFFFFF"/>
      </right>
      <top style="thin">
        <color rgb="FFFFFFFF"/>
      </top>
      <bottom style="thin">
        <color rgb="FFFFFFFF"/>
      </bottom>
    </border>
    <border>
      <left style="thin">
        <color rgb="FFFFFFFF"/>
      </left>
      <right style="thin">
        <color rgb="FF000000"/>
      </right>
      <top style="thin">
        <color rgb="FFFFFFFF"/>
      </top>
      <bottom style="thin">
        <color rgb="FFFFFFFF"/>
      </bottom>
    </border>
    <border>
      <right style="thin">
        <color rgb="FFFFFFFF"/>
      </right>
    </border>
    <border>
      <left style="thin">
        <color rgb="FF000000"/>
      </left>
      <right style="thin">
        <color rgb="FFFFFFFF"/>
      </right>
      <top style="thin">
        <color rgb="FFFFFFFF"/>
      </top>
    </border>
    <border>
      <right style="thin">
        <color rgb="FFFFFFFF"/>
      </right>
      <bottom style="thin">
        <color rgb="FFFFFFFF"/>
      </bottom>
    </border>
    <border>
      <left style="thin">
        <color rgb="FF000000"/>
      </left>
      <right style="thin">
        <color rgb="FFFFFFFF"/>
      </right>
      <top style="thin">
        <color rgb="FFFFFFFF"/>
      </top>
      <bottom style="thin">
        <color rgb="FF000000"/>
      </bottom>
    </border>
    <border>
      <left style="thin">
        <color rgb="FFFFFFFF"/>
      </left>
      <right style="thin">
        <color rgb="FFFFFFFF"/>
      </right>
      <top style="thin">
        <color rgb="FFFFFFFF"/>
      </top>
      <bottom style="thin">
        <color rgb="FF000000"/>
      </bottom>
    </border>
    <border>
      <left style="thin">
        <color rgb="FFFFFFFF"/>
      </left>
      <right style="thin">
        <color rgb="FF000000"/>
      </right>
      <top style="thin">
        <color rgb="FFFFFFFF"/>
      </top>
      <bottom style="thin">
        <color rgb="FF000000"/>
      </bottom>
    </border>
    <border>
      <left/>
      <top/>
      <bottom/>
    </border>
    <border>
      <top/>
      <bottom/>
    </border>
    <border>
      <right/>
      <top/>
      <bottom/>
    </border>
    <border>
      <left/>
      <right/>
      <top/>
      <bottom/>
    </border>
    <border>
      <bottom style="medium">
        <color rgb="FF000000"/>
      </bottom>
    </border>
    <border>
      <left style="thin">
        <color rgb="FFFFFFFF"/>
      </left>
      <right style="thin">
        <color rgb="FFFFFFFF"/>
      </right>
      <top style="thin">
        <color rgb="FFFFFFFF"/>
      </top>
      <bottom/>
    </border>
    <border>
      <left style="thin">
        <color rgb="FFFFFFFF"/>
      </left>
      <right/>
      <top style="thin">
        <color rgb="FFFFFFFF"/>
      </top>
      <bottom style="thin">
        <color rgb="FFFFFFFF"/>
      </bottom>
    </border>
    <border>
      <left style="thin">
        <color rgb="FF020E22"/>
      </left>
      <right style="thin">
        <color rgb="FF020E22"/>
      </right>
      <top style="thin">
        <color rgb="FF020E22"/>
      </top>
      <bottom style="thin">
        <color rgb="FF020E22"/>
      </bottom>
    </border>
  </borders>
  <cellStyleXfs count="1">
    <xf borderId="0" fillId="0" fontId="0" numFmtId="0" applyAlignment="1" applyFont="1"/>
  </cellStyleXfs>
  <cellXfs count="62">
    <xf borderId="0" fillId="0" fontId="0" numFmtId="0" xfId="0" applyAlignment="1" applyFont="1">
      <alignment readingOrder="0" shrinkToFit="0" vertical="bottom" wrapText="0"/>
    </xf>
    <xf borderId="0" fillId="0" fontId="1" numFmtId="0" xfId="0" applyFont="1"/>
    <xf borderId="0" fillId="0" fontId="2" numFmtId="0" xfId="0" applyFont="1"/>
    <xf borderId="1" fillId="0" fontId="2" numFmtId="0" xfId="0" applyBorder="1" applyFont="1"/>
    <xf borderId="2" fillId="0" fontId="2" numFmtId="0" xfId="0" applyBorder="1" applyFont="1"/>
    <xf borderId="3" fillId="0" fontId="2" numFmtId="0" xfId="0" applyBorder="1" applyFont="1"/>
    <xf borderId="4" fillId="0" fontId="2" numFmtId="0" xfId="0" applyBorder="1" applyFont="1"/>
    <xf borderId="5" fillId="0" fontId="2" numFmtId="0" xfId="0" applyBorder="1" applyFont="1"/>
    <xf borderId="6" fillId="0" fontId="2" numFmtId="0" xfId="0" applyBorder="1" applyFont="1"/>
    <xf borderId="7" fillId="0" fontId="2" numFmtId="0" xfId="0" applyBorder="1" applyFont="1"/>
    <xf borderId="8" fillId="0" fontId="3" numFmtId="0" xfId="0" applyAlignment="1" applyBorder="1" applyFont="1">
      <alignment horizontal="center" vertical="center"/>
    </xf>
    <xf borderId="9" fillId="0" fontId="4" numFmtId="0" xfId="0" applyBorder="1" applyFont="1"/>
    <xf borderId="10" fillId="0" fontId="4" numFmtId="0" xfId="0" applyBorder="1" applyFont="1"/>
    <xf borderId="11" fillId="0" fontId="4" numFmtId="0" xfId="0" applyBorder="1" applyFont="1"/>
    <xf borderId="12" fillId="0" fontId="4" numFmtId="0" xfId="0" applyBorder="1" applyFont="1"/>
    <xf borderId="13" fillId="0" fontId="4" numFmtId="0" xfId="0" applyBorder="1" applyFont="1"/>
    <xf borderId="8" fillId="2" fontId="5" numFmtId="0" xfId="0" applyAlignment="1" applyBorder="1" applyFill="1" applyFont="1">
      <alignment horizontal="center" vertical="center"/>
    </xf>
    <xf borderId="14" fillId="0" fontId="4" numFmtId="0" xfId="0" applyBorder="1" applyFont="1"/>
    <xf borderId="15" fillId="0" fontId="4" numFmtId="0" xfId="0" applyBorder="1" applyFont="1"/>
    <xf borderId="16" fillId="0" fontId="6" numFmtId="0" xfId="0" applyAlignment="1" applyBorder="1" applyFont="1">
      <alignment horizontal="center"/>
    </xf>
    <xf borderId="17" fillId="0" fontId="4" numFmtId="0" xfId="0" applyBorder="1" applyFont="1"/>
    <xf borderId="18" fillId="0" fontId="4" numFmtId="0" xfId="0" applyBorder="1" applyFont="1"/>
    <xf borderId="8" fillId="0" fontId="7" numFmtId="0" xfId="0" applyAlignment="1" applyBorder="1" applyFont="1">
      <alignment horizontal="center"/>
    </xf>
    <xf borderId="8" fillId="0" fontId="7" numFmtId="0" xfId="0" applyAlignment="1" applyBorder="1" applyFont="1">
      <alignment horizontal="center" shrinkToFit="0" vertical="center" wrapText="1"/>
    </xf>
    <xf borderId="16" fillId="0" fontId="7" numFmtId="0" xfId="0" applyAlignment="1" applyBorder="1" applyFont="1">
      <alignment horizontal="center"/>
    </xf>
    <xf borderId="19" fillId="0" fontId="7" numFmtId="0" xfId="0" applyBorder="1" applyFont="1"/>
    <xf borderId="1" fillId="0" fontId="7" numFmtId="0" xfId="0" applyBorder="1" applyFont="1"/>
    <xf borderId="20" fillId="0" fontId="2" numFmtId="0" xfId="0" applyBorder="1" applyFont="1"/>
    <xf borderId="0" fillId="0" fontId="8" numFmtId="0" xfId="0" applyAlignment="1" applyFont="1">
      <alignment horizontal="center" shrinkToFit="0" vertical="center" wrapText="1"/>
    </xf>
    <xf borderId="21" fillId="0" fontId="4" numFmtId="0" xfId="0" applyBorder="1" applyFont="1"/>
    <xf borderId="22" fillId="0" fontId="7" numFmtId="0" xfId="0" applyBorder="1" applyFont="1"/>
    <xf borderId="23" fillId="0" fontId="4" numFmtId="0" xfId="0" applyBorder="1" applyFont="1"/>
    <xf borderId="24" fillId="0" fontId="2" numFmtId="0" xfId="0" applyBorder="1" applyFont="1"/>
    <xf borderId="25" fillId="0" fontId="2" numFmtId="0" xfId="0" applyBorder="1" applyFont="1"/>
    <xf borderId="26" fillId="0" fontId="2" numFmtId="0" xfId="0" applyBorder="1" applyFont="1"/>
    <xf borderId="27" fillId="3" fontId="9" numFmtId="0" xfId="0" applyAlignment="1" applyBorder="1" applyFill="1" applyFont="1">
      <alignment horizontal="center" vertical="center"/>
    </xf>
    <xf borderId="28" fillId="0" fontId="4" numFmtId="0" xfId="0" applyBorder="1" applyFont="1"/>
    <xf borderId="29" fillId="0" fontId="4" numFmtId="0" xfId="0" applyBorder="1" applyFont="1"/>
    <xf borderId="0" fillId="0" fontId="9" numFmtId="0" xfId="0" applyAlignment="1" applyFont="1">
      <alignment horizontal="center" vertical="center"/>
    </xf>
    <xf borderId="0" fillId="0" fontId="2" numFmtId="0" xfId="0" applyAlignment="1" applyFont="1">
      <alignment vertical="center"/>
    </xf>
    <xf borderId="30" fillId="4" fontId="10" numFmtId="0" xfId="0" applyAlignment="1" applyBorder="1" applyFill="1" applyFont="1">
      <alignment shrinkToFit="0" wrapText="1"/>
    </xf>
    <xf borderId="0" fillId="0" fontId="2" numFmtId="0" xfId="0" applyAlignment="1" applyFont="1">
      <alignment shrinkToFit="0" wrapText="1"/>
    </xf>
    <xf borderId="0" fillId="0" fontId="1" numFmtId="0" xfId="0" applyAlignment="1" applyFont="1">
      <alignment shrinkToFit="0" vertical="top" wrapText="1"/>
    </xf>
    <xf borderId="0" fillId="0" fontId="2" numFmtId="0" xfId="0" applyAlignment="1" applyFont="1">
      <alignment horizontal="center" vertical="center"/>
    </xf>
    <xf borderId="0" fillId="0" fontId="2" numFmtId="0" xfId="0" applyAlignment="1" applyFont="1">
      <alignment vertical="top"/>
    </xf>
    <xf borderId="31" fillId="0" fontId="1" numFmtId="0" xfId="0" applyAlignment="1" applyBorder="1" applyFont="1">
      <alignment horizontal="left" vertical="center"/>
    </xf>
    <xf borderId="31" fillId="0" fontId="1" numFmtId="0" xfId="0" applyBorder="1" applyFont="1"/>
    <xf borderId="31" fillId="0" fontId="2" numFmtId="0" xfId="0" applyBorder="1" applyFont="1"/>
    <xf borderId="0" fillId="0" fontId="2" numFmtId="0" xfId="0" applyAlignment="1" applyFont="1">
      <alignment horizontal="center" shrinkToFit="0" vertical="center" wrapText="1"/>
    </xf>
    <xf borderId="30" fillId="5" fontId="2" numFmtId="0" xfId="0" applyAlignment="1" applyBorder="1" applyFill="1" applyFont="1">
      <alignment horizontal="left" vertical="center"/>
    </xf>
    <xf borderId="30" fillId="5" fontId="2" numFmtId="0" xfId="0" applyBorder="1" applyFont="1"/>
    <xf borderId="0" fillId="0" fontId="11" numFmtId="0" xfId="0" applyAlignment="1" applyFont="1">
      <alignment vertical="center"/>
    </xf>
    <xf borderId="0" fillId="0" fontId="11" numFmtId="0" xfId="0" applyFont="1"/>
    <xf borderId="32" fillId="4" fontId="12" numFmtId="0" xfId="0" applyAlignment="1" applyBorder="1" applyFont="1">
      <alignment shrinkToFit="0" vertical="center" wrapText="1"/>
    </xf>
    <xf borderId="0" fillId="0" fontId="11" numFmtId="0" xfId="0" applyAlignment="1" applyFont="1">
      <alignment horizontal="center" vertical="center"/>
    </xf>
    <xf borderId="33" fillId="4" fontId="12" numFmtId="0" xfId="0" applyAlignment="1" applyBorder="1" applyFont="1">
      <alignment shrinkToFit="0" vertical="center" wrapText="1"/>
    </xf>
    <xf borderId="34" fillId="0" fontId="11" numFmtId="4" xfId="0" applyAlignment="1" applyBorder="1" applyFont="1" applyNumberFormat="1">
      <alignment vertical="center"/>
    </xf>
    <xf borderId="34" fillId="6" fontId="12" numFmtId="4" xfId="0" applyAlignment="1" applyBorder="1" applyFill="1" applyFont="1" applyNumberFormat="1">
      <alignment vertical="center"/>
    </xf>
    <xf borderId="21" fillId="0" fontId="11" numFmtId="0" xfId="0" applyAlignment="1" applyBorder="1" applyFont="1">
      <alignment horizontal="center"/>
    </xf>
    <xf borderId="21" fillId="0" fontId="2" numFmtId="0" xfId="0" applyBorder="1" applyFont="1"/>
    <xf borderId="0" fillId="0" fontId="13" numFmtId="0" xfId="0" applyAlignment="1" applyFont="1">
      <alignment horizontal="center"/>
    </xf>
    <xf borderId="0" fillId="0" fontId="14" numFmtId="0" xfId="0" applyAlignment="1" applyFont="1">
      <alignment horizontal="righ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a:solidFill>
                  <a:srgbClr val="020E22"/>
                </a:solidFill>
                <a:latin typeface="Arial black"/>
              </a:defRPr>
            </a:pPr>
            <a:r>
              <a:rPr b="0" i="0">
                <a:solidFill>
                  <a:srgbClr val="020E22"/>
                </a:solidFill>
                <a:latin typeface="Arial black"/>
              </a:rPr>
              <a:t>Contribution of the life cycle stages to environmental impacts and flows</a:t>
            </a:r>
          </a:p>
        </c:rich>
      </c:tx>
      <c:overlay val="0"/>
    </c:title>
    <c:plotArea>
      <c:layout/>
      <c:barChart>
        <c:barDir val="col"/>
        <c:grouping val="percentStacked"/>
        <c:ser>
          <c:idx val="0"/>
          <c:order val="0"/>
          <c:tx>
            <c:v>Materials</c:v>
          </c:tx>
          <c:spPr>
            <a:solidFill>
              <a:srgbClr val="020E22"/>
            </a:solidFill>
            <a:ln cmpd="sng">
              <a:solidFill>
                <a:srgbClr val="000000"/>
              </a:solidFill>
            </a:ln>
          </c:spPr>
          <c:val>
            <c:numRef>
              <c:f>'11-2 contribution'!$B$400:$G$400</c:f>
              <c:numCache/>
            </c:numRef>
          </c:val>
        </c:ser>
        <c:ser>
          <c:idx val="1"/>
          <c:order val="1"/>
          <c:tx>
            <c:v>Manufacturing processes</c:v>
          </c:tx>
          <c:spPr>
            <a:solidFill>
              <a:srgbClr val="FFFFFF"/>
            </a:solidFill>
            <a:ln cmpd="sng">
              <a:solidFill>
                <a:srgbClr val="000000"/>
              </a:solidFill>
            </a:ln>
          </c:spPr>
          <c:val>
            <c:numRef>
              <c:f>'11-2 contribution'!$B$401:$G$401</c:f>
              <c:numCache/>
            </c:numRef>
          </c:val>
        </c:ser>
        <c:ser>
          <c:idx val="2"/>
          <c:order val="2"/>
          <c:tx>
            <c:v>Consumables</c:v>
          </c:tx>
          <c:spPr>
            <a:solidFill>
              <a:srgbClr val="F68A33"/>
            </a:solidFill>
            <a:ln cmpd="sng">
              <a:solidFill>
                <a:srgbClr val="000000"/>
              </a:solidFill>
            </a:ln>
          </c:spPr>
          <c:val>
            <c:numRef>
              <c:f>'11-2 contribution'!$B$402:$G$402</c:f>
              <c:numCache/>
            </c:numRef>
          </c:val>
        </c:ser>
        <c:ser>
          <c:idx val="3"/>
          <c:order val="3"/>
          <c:tx>
            <c:v>Transport</c:v>
          </c:tx>
          <c:spPr>
            <a:solidFill>
              <a:srgbClr val="DFE6F1"/>
            </a:solidFill>
            <a:ln cmpd="sng">
              <a:solidFill>
                <a:srgbClr val="000000"/>
              </a:solidFill>
            </a:ln>
          </c:spPr>
          <c:val>
            <c:numRef>
              <c:f>'11-2 contribution'!$B$403:$G$403</c:f>
              <c:numCache/>
            </c:numRef>
          </c:val>
        </c:ser>
        <c:ser>
          <c:idx val="4"/>
          <c:order val="4"/>
          <c:tx>
            <c:v>EOL</c:v>
          </c:tx>
          <c:spPr>
            <a:solidFill>
              <a:srgbClr val="0078BA"/>
            </a:solidFill>
            <a:ln cmpd="sng">
              <a:solidFill>
                <a:srgbClr val="000000"/>
              </a:solidFill>
            </a:ln>
          </c:spPr>
          <c:val>
            <c:numRef>
              <c:f>'11-2 contribution'!$B$404:$G$404</c:f>
              <c:numCache/>
            </c:numRef>
          </c:val>
        </c:ser>
        <c:overlap val="100"/>
        <c:axId val="1228549876"/>
        <c:axId val="1574197230"/>
      </c:barChart>
      <c:catAx>
        <c:axId val="1228549876"/>
        <c:scaling>
          <c:orientation val="minMax"/>
        </c:scaling>
        <c:delete val="0"/>
        <c:axPos val="b"/>
        <c:title>
          <c:tx>
            <c:rich>
              <a:bodyPr/>
              <a:lstStyle/>
              <a:p>
                <a:pPr lvl="0">
                  <a:defRPr b="0" i="0" sz="1000">
                    <a:solidFill>
                      <a:srgbClr val="000000"/>
                    </a:solidFill>
                    <a:latin typeface="Verdana"/>
                  </a:defRPr>
                </a:pPr>
                <a:r>
                  <a:rPr b="0" i="0" sz="1000">
                    <a:solidFill>
                      <a:srgbClr val="000000"/>
                    </a:solidFill>
                    <a:latin typeface="Verdana"/>
                  </a:rPr>
                  <a:t>Global warming (kg CO2e)            Mineral resource scarcity (kg Cue)            Energy consumption (Mj)            Water consumption (m3)            Marine eutrophication (kg Ne)</a:t>
                </a:r>
              </a:p>
            </c:rich>
          </c:tx>
          <c:overlay val="0"/>
        </c:title>
        <c:numFmt formatCode="General" sourceLinked="1"/>
        <c:majorTickMark val="none"/>
        <c:minorTickMark val="none"/>
        <c:spPr/>
        <c:txPr>
          <a:bodyPr/>
          <a:lstStyle/>
          <a:p>
            <a:pPr lvl="0">
              <a:defRPr b="0" i="0">
                <a:solidFill>
                  <a:srgbClr val="000000"/>
                </a:solidFill>
                <a:latin typeface="+mn-lt"/>
              </a:defRPr>
            </a:pPr>
          </a:p>
        </c:txPr>
        <c:crossAx val="1574197230"/>
      </c:catAx>
      <c:valAx>
        <c:axId val="157419723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Arial black"/>
              </a:defRPr>
            </a:pPr>
          </a:p>
        </c:txPr>
        <c:crossAx val="1228549876"/>
      </c:valAx>
    </c:plotArea>
    <c:legend>
      <c:legendPos val="b"/>
      <c:overlay val="0"/>
      <c:txPr>
        <a:bodyPr/>
        <a:lstStyle/>
        <a:p>
          <a:pPr lvl="0">
            <a:defRPr b="0" i="0">
              <a:solidFill>
                <a:srgbClr val="1A1A1A"/>
              </a:solidFill>
              <a:latin typeface="Arial black"/>
            </a:defRPr>
          </a:pPr>
        </a:p>
      </c:txPr>
    </c:legend>
    <c:plotVisOnly val="1"/>
  </c:chart>
  <c:spPr>
    <a:solidFill>
      <a:srgbClr val="F3F3F3"/>
    </a:solidFill>
  </c:spPr>
</c:chartSpace>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247650</xdr:colOff>
      <xdr:row>8</xdr:row>
      <xdr:rowOff>104775</xdr:rowOff>
    </xdr:from>
    <xdr:ext cx="1666875" cy="7239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676275</xdr:colOff>
      <xdr:row>407</xdr:row>
      <xdr:rowOff>28575</xdr:rowOff>
    </xdr:from>
    <xdr:ext cx="7391400" cy="4924425"/>
    <xdr:graphicFrame>
      <xdr:nvGraphicFramePr>
        <xdr:cNvPr id="538827985" name="Chart 1" title="Chart"/>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2.63" defaultRowHeight="15.0"/>
  <cols>
    <col customWidth="1" min="1" max="8" width="7.63"/>
  </cols>
  <sheetData>
    <row r="1" ht="14.25" customHeight="1">
      <c r="A1" s="1" t="s">
        <v>0</v>
      </c>
      <c r="B1" s="1" t="s">
        <v>1</v>
      </c>
      <c r="C1" s="1" t="s">
        <v>2</v>
      </c>
      <c r="D1" s="1" t="s">
        <v>3</v>
      </c>
      <c r="E1" s="1" t="s">
        <v>4</v>
      </c>
      <c r="F1" s="1" t="s">
        <v>5</v>
      </c>
      <c r="G1" s="1" t="s">
        <v>6</v>
      </c>
      <c r="H1" s="1" t="s">
        <v>7</v>
      </c>
    </row>
    <row r="2" ht="14.25" customHeight="1">
      <c r="A2" s="2" t="s">
        <v>8</v>
      </c>
      <c r="B2" s="2" t="s">
        <v>9</v>
      </c>
      <c r="C2" s="2" t="s">
        <v>10</v>
      </c>
      <c r="D2" s="2">
        <v>0.0</v>
      </c>
      <c r="E2" s="2">
        <v>0.0</v>
      </c>
      <c r="F2" s="2">
        <v>0.0</v>
      </c>
      <c r="G2" s="2">
        <v>0.0</v>
      </c>
      <c r="H2" s="2">
        <v>0.0</v>
      </c>
    </row>
    <row r="3" ht="14.25" customHeight="1">
      <c r="A3" s="2" t="s">
        <v>8</v>
      </c>
      <c r="B3" s="2" t="s">
        <v>11</v>
      </c>
      <c r="C3" s="2" t="s">
        <v>12</v>
      </c>
      <c r="D3" s="2">
        <v>13.15</v>
      </c>
      <c r="E3" s="2">
        <v>0.0</v>
      </c>
      <c r="F3" s="2">
        <v>6.12</v>
      </c>
      <c r="G3" s="2">
        <v>0.01</v>
      </c>
      <c r="H3" s="2">
        <v>0.01</v>
      </c>
    </row>
    <row r="4" ht="14.25" customHeight="1">
      <c r="A4" s="2" t="s">
        <v>8</v>
      </c>
      <c r="B4" s="2" t="s">
        <v>11</v>
      </c>
      <c r="C4" s="2" t="s">
        <v>12</v>
      </c>
      <c r="D4" s="2">
        <v>8.1</v>
      </c>
      <c r="E4" s="2">
        <v>0.0</v>
      </c>
      <c r="F4" s="2">
        <v>3.77</v>
      </c>
      <c r="G4" s="2">
        <v>0.0</v>
      </c>
      <c r="H4" s="2">
        <v>0.01</v>
      </c>
    </row>
    <row r="5" ht="14.25" customHeight="1">
      <c r="A5" s="2" t="s">
        <v>8</v>
      </c>
      <c r="B5" s="2" t="s">
        <v>11</v>
      </c>
      <c r="C5" s="2" t="s">
        <v>12</v>
      </c>
      <c r="D5" s="2">
        <v>4.79</v>
      </c>
      <c r="E5" s="2">
        <v>0.0</v>
      </c>
      <c r="F5" s="2">
        <v>2.23</v>
      </c>
      <c r="G5" s="2">
        <v>0.0</v>
      </c>
      <c r="H5" s="2">
        <v>0.01</v>
      </c>
    </row>
    <row r="6" ht="14.25" customHeight="1">
      <c r="A6" s="2" t="s">
        <v>8</v>
      </c>
      <c r="B6" s="2" t="s">
        <v>11</v>
      </c>
      <c r="C6" s="2" t="s">
        <v>13</v>
      </c>
      <c r="D6" s="2">
        <v>14.89</v>
      </c>
      <c r="E6" s="2">
        <v>0.0</v>
      </c>
      <c r="F6" s="2">
        <v>6.93</v>
      </c>
      <c r="G6" s="2">
        <v>0.01</v>
      </c>
      <c r="H6" s="2">
        <v>0.02</v>
      </c>
    </row>
    <row r="7" ht="14.25" customHeight="1">
      <c r="A7" s="2" t="s">
        <v>8</v>
      </c>
      <c r="B7" s="2" t="s">
        <v>11</v>
      </c>
      <c r="C7" s="2" t="s">
        <v>14</v>
      </c>
      <c r="D7" s="2">
        <v>2.26</v>
      </c>
      <c r="E7" s="2">
        <v>0.0</v>
      </c>
      <c r="F7" s="2">
        <v>1.05</v>
      </c>
      <c r="G7" s="2">
        <v>0.0</v>
      </c>
      <c r="H7" s="2">
        <v>0.0</v>
      </c>
    </row>
    <row r="8" ht="14.25" customHeight="1">
      <c r="A8" s="2" t="s">
        <v>8</v>
      </c>
      <c r="B8" s="2" t="s">
        <v>11</v>
      </c>
      <c r="C8" s="2" t="s">
        <v>15</v>
      </c>
      <c r="D8" s="2">
        <v>1.31</v>
      </c>
      <c r="E8" s="2">
        <v>0.0</v>
      </c>
      <c r="F8" s="2">
        <v>0.61</v>
      </c>
      <c r="G8" s="2">
        <v>0.0</v>
      </c>
      <c r="H8" s="2">
        <v>0.0</v>
      </c>
    </row>
    <row r="9" ht="14.25" customHeight="1">
      <c r="A9" s="2" t="s">
        <v>8</v>
      </c>
      <c r="B9" s="2" t="s">
        <v>11</v>
      </c>
      <c r="C9" s="2" t="s">
        <v>16</v>
      </c>
      <c r="D9" s="2">
        <v>4.76</v>
      </c>
      <c r="E9" s="2">
        <v>0.0</v>
      </c>
      <c r="F9" s="2">
        <v>2.22</v>
      </c>
      <c r="G9" s="2">
        <v>0.0</v>
      </c>
      <c r="H9" s="2">
        <v>0.01</v>
      </c>
    </row>
    <row r="10" ht="14.25" customHeight="1">
      <c r="A10" s="2" t="s">
        <v>8</v>
      </c>
      <c r="B10" s="2" t="s">
        <v>11</v>
      </c>
      <c r="C10" s="2" t="s">
        <v>17</v>
      </c>
      <c r="D10" s="2">
        <v>0.0</v>
      </c>
      <c r="E10" s="2">
        <v>0.0</v>
      </c>
      <c r="F10" s="2">
        <v>0.0</v>
      </c>
      <c r="G10" s="2">
        <v>0.0</v>
      </c>
      <c r="H10" s="2">
        <v>0.0</v>
      </c>
    </row>
    <row r="11" ht="14.25" customHeight="1">
      <c r="A11" s="2" t="s">
        <v>8</v>
      </c>
      <c r="B11" s="2" t="s">
        <v>11</v>
      </c>
      <c r="C11" s="2" t="s">
        <v>10</v>
      </c>
      <c r="D11" s="2">
        <v>49.26</v>
      </c>
      <c r="E11" s="2">
        <v>0.0</v>
      </c>
      <c r="F11" s="2">
        <v>22.93</v>
      </c>
      <c r="G11" s="2">
        <v>0.02</v>
      </c>
      <c r="H11" s="2">
        <v>0.06</v>
      </c>
    </row>
    <row r="12" ht="14.25" customHeight="1">
      <c r="A12" s="2" t="s">
        <v>8</v>
      </c>
      <c r="B12" s="2" t="s">
        <v>18</v>
      </c>
      <c r="C12" s="2" t="s">
        <v>10</v>
      </c>
      <c r="D12" s="2">
        <v>0.0</v>
      </c>
      <c r="E12" s="2">
        <v>0.0</v>
      </c>
      <c r="F12" s="2">
        <v>0.0</v>
      </c>
      <c r="G12" s="2">
        <v>0.0</v>
      </c>
      <c r="H12" s="2">
        <v>0.0</v>
      </c>
    </row>
    <row r="13" ht="14.25" customHeight="1">
      <c r="A13" s="2" t="s">
        <v>19</v>
      </c>
      <c r="B13" s="2" t="s">
        <v>9</v>
      </c>
      <c r="C13" s="2" t="s">
        <v>10</v>
      </c>
      <c r="D13" s="2">
        <v>0.0</v>
      </c>
      <c r="E13" s="2">
        <v>0.0</v>
      </c>
      <c r="F13" s="2">
        <v>0.0</v>
      </c>
      <c r="G13" s="2">
        <v>0.0</v>
      </c>
      <c r="H13" s="2">
        <v>0.0</v>
      </c>
    </row>
    <row r="14" ht="14.25" customHeight="1">
      <c r="A14" s="2" t="s">
        <v>19</v>
      </c>
      <c r="B14" s="2" t="s">
        <v>11</v>
      </c>
      <c r="C14" s="2" t="s">
        <v>12</v>
      </c>
      <c r="D14" s="2">
        <v>14.8</v>
      </c>
      <c r="E14" s="2">
        <v>0.0</v>
      </c>
      <c r="F14" s="2">
        <v>6.89</v>
      </c>
      <c r="G14" s="2">
        <v>0.01</v>
      </c>
      <c r="H14" s="2">
        <v>0.02</v>
      </c>
    </row>
    <row r="15" ht="14.25" customHeight="1">
      <c r="A15" s="2" t="s">
        <v>19</v>
      </c>
      <c r="B15" s="2" t="s">
        <v>11</v>
      </c>
      <c r="C15" s="2" t="s">
        <v>12</v>
      </c>
      <c r="D15" s="2">
        <v>9.14</v>
      </c>
      <c r="E15" s="2">
        <v>0.0</v>
      </c>
      <c r="F15" s="2">
        <v>4.26</v>
      </c>
      <c r="G15" s="2">
        <v>0.0</v>
      </c>
      <c r="H15" s="2">
        <v>0.01</v>
      </c>
    </row>
    <row r="16" ht="14.25" customHeight="1">
      <c r="A16" s="2" t="s">
        <v>19</v>
      </c>
      <c r="B16" s="2" t="s">
        <v>11</v>
      </c>
      <c r="C16" s="2" t="s">
        <v>12</v>
      </c>
      <c r="D16" s="2">
        <v>5.4</v>
      </c>
      <c r="E16" s="2">
        <v>0.0</v>
      </c>
      <c r="F16" s="2">
        <v>2.51</v>
      </c>
      <c r="G16" s="2">
        <v>0.0</v>
      </c>
      <c r="H16" s="2">
        <v>0.01</v>
      </c>
    </row>
    <row r="17" ht="14.25" customHeight="1">
      <c r="A17" s="2" t="s">
        <v>19</v>
      </c>
      <c r="B17" s="2" t="s">
        <v>11</v>
      </c>
      <c r="C17" s="2" t="s">
        <v>13</v>
      </c>
      <c r="D17" s="2">
        <v>16.78</v>
      </c>
      <c r="E17" s="2">
        <v>0.0</v>
      </c>
      <c r="F17" s="2">
        <v>7.82</v>
      </c>
      <c r="G17" s="2">
        <v>0.01</v>
      </c>
      <c r="H17" s="2">
        <v>0.02</v>
      </c>
    </row>
    <row r="18" ht="14.25" customHeight="1">
      <c r="A18" s="2" t="s">
        <v>19</v>
      </c>
      <c r="B18" s="2" t="s">
        <v>11</v>
      </c>
      <c r="C18" s="2" t="s">
        <v>14</v>
      </c>
      <c r="D18" s="2">
        <v>2.55</v>
      </c>
      <c r="E18" s="2">
        <v>0.0</v>
      </c>
      <c r="F18" s="2">
        <v>1.19</v>
      </c>
      <c r="G18" s="2">
        <v>0.0</v>
      </c>
      <c r="H18" s="2">
        <v>0.0</v>
      </c>
    </row>
    <row r="19" ht="14.25" customHeight="1">
      <c r="A19" s="2" t="s">
        <v>19</v>
      </c>
      <c r="B19" s="2" t="s">
        <v>11</v>
      </c>
      <c r="C19" s="2" t="s">
        <v>15</v>
      </c>
      <c r="D19" s="2">
        <v>1.46</v>
      </c>
      <c r="E19" s="2">
        <v>0.0</v>
      </c>
      <c r="F19" s="2">
        <v>0.68</v>
      </c>
      <c r="G19" s="2">
        <v>0.0</v>
      </c>
      <c r="H19" s="2">
        <v>0.0</v>
      </c>
    </row>
    <row r="20" ht="14.25" customHeight="1">
      <c r="A20" s="2" t="s">
        <v>19</v>
      </c>
      <c r="B20" s="2" t="s">
        <v>11</v>
      </c>
      <c r="C20" s="2" t="s">
        <v>12</v>
      </c>
      <c r="D20" s="2">
        <v>0.0</v>
      </c>
      <c r="E20" s="2">
        <v>0.0</v>
      </c>
      <c r="F20" s="2">
        <v>0.0</v>
      </c>
      <c r="G20" s="2">
        <v>0.0</v>
      </c>
      <c r="H20" s="2">
        <v>0.0</v>
      </c>
    </row>
    <row r="21" ht="14.25" customHeight="1">
      <c r="A21" s="2" t="s">
        <v>19</v>
      </c>
      <c r="B21" s="2" t="s">
        <v>11</v>
      </c>
      <c r="C21" s="2" t="s">
        <v>16</v>
      </c>
      <c r="D21" s="2">
        <v>6.67</v>
      </c>
      <c r="E21" s="2">
        <v>0.0</v>
      </c>
      <c r="F21" s="2">
        <v>3.1</v>
      </c>
      <c r="G21" s="2">
        <v>0.0</v>
      </c>
      <c r="H21" s="2">
        <v>0.01</v>
      </c>
    </row>
    <row r="22" ht="14.25" customHeight="1">
      <c r="A22" s="2" t="s">
        <v>19</v>
      </c>
      <c r="B22" s="2" t="s">
        <v>11</v>
      </c>
      <c r="C22" s="2" t="s">
        <v>17</v>
      </c>
      <c r="D22" s="2">
        <v>0.0</v>
      </c>
      <c r="E22" s="2">
        <v>0.0</v>
      </c>
      <c r="F22" s="2">
        <v>0.0</v>
      </c>
      <c r="G22" s="2">
        <v>0.0</v>
      </c>
      <c r="H22" s="2">
        <v>0.0</v>
      </c>
    </row>
    <row r="23" ht="14.25" customHeight="1">
      <c r="A23" s="2" t="s">
        <v>19</v>
      </c>
      <c r="B23" s="2" t="s">
        <v>11</v>
      </c>
      <c r="C23" s="2" t="s">
        <v>10</v>
      </c>
      <c r="D23" s="2">
        <v>56.8</v>
      </c>
      <c r="E23" s="2">
        <v>0.0</v>
      </c>
      <c r="F23" s="2">
        <v>26.45</v>
      </c>
      <c r="G23" s="2">
        <v>0.02</v>
      </c>
      <c r="H23" s="2">
        <v>0.07</v>
      </c>
    </row>
    <row r="24" ht="14.25" customHeight="1">
      <c r="A24" s="2" t="s">
        <v>19</v>
      </c>
      <c r="B24" s="2" t="s">
        <v>18</v>
      </c>
      <c r="C24" s="2" t="s">
        <v>10</v>
      </c>
      <c r="D24" s="2">
        <v>0.0</v>
      </c>
      <c r="E24" s="2">
        <v>0.0</v>
      </c>
      <c r="F24" s="2">
        <v>0.0</v>
      </c>
      <c r="G24" s="2">
        <v>0.0</v>
      </c>
      <c r="H24" s="2">
        <v>0.0</v>
      </c>
    </row>
    <row r="25" ht="14.25" customHeight="1">
      <c r="A25" s="2" t="s">
        <v>20</v>
      </c>
      <c r="B25" s="2" t="s">
        <v>21</v>
      </c>
      <c r="C25" s="2" t="s">
        <v>10</v>
      </c>
      <c r="D25" s="2">
        <v>0.0</v>
      </c>
      <c r="E25" s="2">
        <v>0.0</v>
      </c>
      <c r="F25" s="2">
        <v>0.0</v>
      </c>
      <c r="G25" s="2">
        <v>0.0</v>
      </c>
      <c r="H25" s="2">
        <v>0.0</v>
      </c>
    </row>
    <row r="26" ht="14.25" customHeight="1">
      <c r="A26" s="2" t="s">
        <v>20</v>
      </c>
      <c r="B26" s="2" t="s">
        <v>22</v>
      </c>
      <c r="C26" s="2" t="s">
        <v>10</v>
      </c>
      <c r="D26" s="2">
        <v>0.0</v>
      </c>
      <c r="E26" s="2">
        <v>0.0</v>
      </c>
      <c r="F26" s="2">
        <v>0.0</v>
      </c>
      <c r="G26" s="2">
        <v>0.0</v>
      </c>
      <c r="H26" s="2">
        <v>0.0</v>
      </c>
    </row>
    <row r="27" ht="14.25" customHeight="1">
      <c r="A27" s="2" t="s">
        <v>20</v>
      </c>
      <c r="B27" s="2" t="s">
        <v>23</v>
      </c>
      <c r="C27" s="2" t="s">
        <v>24</v>
      </c>
      <c r="D27" s="2">
        <v>21.26</v>
      </c>
      <c r="E27" s="2">
        <v>0.0</v>
      </c>
      <c r="F27" s="2">
        <v>9.9</v>
      </c>
      <c r="G27" s="2">
        <v>0.01</v>
      </c>
      <c r="H27" s="2">
        <v>0.02</v>
      </c>
    </row>
    <row r="28" ht="14.25" customHeight="1">
      <c r="A28" s="2" t="s">
        <v>20</v>
      </c>
      <c r="B28" s="2" t="s">
        <v>23</v>
      </c>
      <c r="C28" s="2" t="s">
        <v>25</v>
      </c>
      <c r="D28" s="2">
        <v>14.17</v>
      </c>
      <c r="E28" s="2">
        <v>0.0</v>
      </c>
      <c r="F28" s="2">
        <v>6.6</v>
      </c>
      <c r="G28" s="2">
        <v>0.01</v>
      </c>
      <c r="H28" s="2">
        <v>0.02</v>
      </c>
    </row>
    <row r="29" ht="14.25" customHeight="1">
      <c r="A29" s="2" t="s">
        <v>20</v>
      </c>
      <c r="B29" s="2" t="s">
        <v>23</v>
      </c>
      <c r="C29" s="2" t="s">
        <v>26</v>
      </c>
      <c r="D29" s="2">
        <v>0.09</v>
      </c>
      <c r="E29" s="2">
        <v>0.0</v>
      </c>
      <c r="F29" s="2">
        <v>0.04</v>
      </c>
      <c r="G29" s="2">
        <v>0.0</v>
      </c>
      <c r="H29" s="2">
        <v>0.0</v>
      </c>
    </row>
    <row r="30" ht="14.25" customHeight="1">
      <c r="A30" s="2" t="s">
        <v>20</v>
      </c>
      <c r="B30" s="2" t="s">
        <v>23</v>
      </c>
      <c r="C30" s="2" t="s">
        <v>27</v>
      </c>
      <c r="D30" s="2">
        <v>2.34</v>
      </c>
      <c r="E30" s="2">
        <v>0.0</v>
      </c>
      <c r="F30" s="2">
        <v>1.83</v>
      </c>
      <c r="G30" s="2">
        <v>0.0</v>
      </c>
      <c r="H30" s="2">
        <v>0.0</v>
      </c>
    </row>
    <row r="31" ht="14.25" customHeight="1">
      <c r="A31" s="2" t="s">
        <v>20</v>
      </c>
      <c r="B31" s="2" t="s">
        <v>23</v>
      </c>
      <c r="C31" s="2" t="s">
        <v>28</v>
      </c>
      <c r="D31" s="2">
        <v>0.0</v>
      </c>
      <c r="E31" s="2">
        <v>0.0</v>
      </c>
      <c r="F31" s="2">
        <v>0.0</v>
      </c>
      <c r="G31" s="2">
        <v>0.0</v>
      </c>
      <c r="H31" s="2">
        <v>0.0</v>
      </c>
    </row>
    <row r="32" ht="14.25" customHeight="1">
      <c r="A32" s="2" t="s">
        <v>20</v>
      </c>
      <c r="B32" s="2" t="s">
        <v>23</v>
      </c>
      <c r="C32" s="2" t="s">
        <v>10</v>
      </c>
      <c r="D32" s="2">
        <v>37.86</v>
      </c>
      <c r="E32" s="2">
        <v>0.0</v>
      </c>
      <c r="F32" s="2">
        <v>18.37</v>
      </c>
      <c r="G32" s="2">
        <v>0.02</v>
      </c>
      <c r="H32" s="2">
        <v>0.04</v>
      </c>
    </row>
    <row r="33" ht="14.25" customHeight="1">
      <c r="A33" s="2" t="s">
        <v>20</v>
      </c>
      <c r="B33" s="2" t="s">
        <v>29</v>
      </c>
      <c r="C33" s="2" t="s">
        <v>10</v>
      </c>
      <c r="D33" s="2">
        <v>0.0</v>
      </c>
      <c r="E33" s="2">
        <v>0.0</v>
      </c>
      <c r="F33" s="2">
        <v>0.0</v>
      </c>
      <c r="G33" s="2">
        <v>0.0</v>
      </c>
      <c r="H33" s="2">
        <v>0.0</v>
      </c>
    </row>
    <row r="34" ht="14.25" customHeight="1">
      <c r="A34" s="2" t="s">
        <v>20</v>
      </c>
      <c r="B34" s="2" t="s">
        <v>18</v>
      </c>
      <c r="C34" s="2" t="s">
        <v>10</v>
      </c>
      <c r="D34" s="2">
        <v>0.0</v>
      </c>
      <c r="E34" s="2">
        <v>0.0</v>
      </c>
      <c r="F34" s="2">
        <v>0.0</v>
      </c>
      <c r="G34" s="2">
        <v>0.0</v>
      </c>
      <c r="H34" s="2">
        <v>0.0</v>
      </c>
    </row>
    <row r="35" ht="14.25" customHeight="1">
      <c r="A35" s="2" t="s">
        <v>30</v>
      </c>
      <c r="B35" s="2" t="s">
        <v>23</v>
      </c>
      <c r="C35" s="2" t="s">
        <v>24</v>
      </c>
      <c r="D35" s="2">
        <v>14.27</v>
      </c>
      <c r="E35" s="2">
        <v>0.0</v>
      </c>
      <c r="F35" s="2">
        <v>2.9</v>
      </c>
      <c r="G35" s="2">
        <v>0.02</v>
      </c>
      <c r="H35" s="2">
        <v>0.0</v>
      </c>
    </row>
    <row r="36" ht="14.25" customHeight="1">
      <c r="A36" s="2" t="s">
        <v>30</v>
      </c>
      <c r="B36" s="2" t="s">
        <v>23</v>
      </c>
      <c r="C36" s="2" t="s">
        <v>24</v>
      </c>
      <c r="D36" s="2">
        <v>11.89</v>
      </c>
      <c r="E36" s="2">
        <v>0.0</v>
      </c>
      <c r="F36" s="2">
        <v>2.41</v>
      </c>
      <c r="G36" s="2">
        <v>0.02</v>
      </c>
      <c r="H36" s="2">
        <v>0.0</v>
      </c>
    </row>
    <row r="37" ht="14.25" customHeight="1">
      <c r="A37" s="2" t="s">
        <v>30</v>
      </c>
      <c r="B37" s="2" t="s">
        <v>23</v>
      </c>
      <c r="C37" s="2" t="s">
        <v>25</v>
      </c>
      <c r="D37" s="2">
        <v>9.51</v>
      </c>
      <c r="E37" s="2">
        <v>0.0</v>
      </c>
      <c r="F37" s="2">
        <v>1.93</v>
      </c>
      <c r="G37" s="2">
        <v>0.01</v>
      </c>
      <c r="H37" s="2">
        <v>0.0</v>
      </c>
    </row>
    <row r="38" ht="14.25" customHeight="1">
      <c r="A38" s="2" t="s">
        <v>30</v>
      </c>
      <c r="B38" s="2" t="s">
        <v>23</v>
      </c>
      <c r="C38" s="2" t="s">
        <v>25</v>
      </c>
      <c r="D38" s="2">
        <v>4.76</v>
      </c>
      <c r="E38" s="2">
        <v>0.0</v>
      </c>
      <c r="F38" s="2">
        <v>0.97</v>
      </c>
      <c r="G38" s="2">
        <v>0.01</v>
      </c>
      <c r="H38" s="2">
        <v>0.0</v>
      </c>
    </row>
    <row r="39" ht="14.25" customHeight="1">
      <c r="A39" s="2" t="s">
        <v>30</v>
      </c>
      <c r="B39" s="2" t="s">
        <v>23</v>
      </c>
      <c r="C39" s="2" t="s">
        <v>25</v>
      </c>
      <c r="D39" s="2">
        <v>0.0</v>
      </c>
      <c r="E39" s="2">
        <v>0.0</v>
      </c>
      <c r="F39" s="2">
        <v>0.0</v>
      </c>
      <c r="G39" s="2">
        <v>0.0</v>
      </c>
      <c r="H39" s="2">
        <v>0.0</v>
      </c>
    </row>
    <row r="40" ht="14.25" customHeight="1">
      <c r="A40" s="2" t="s">
        <v>30</v>
      </c>
      <c r="B40" s="2" t="s">
        <v>23</v>
      </c>
      <c r="C40" s="2" t="s">
        <v>31</v>
      </c>
      <c r="D40" s="2">
        <v>2.38</v>
      </c>
      <c r="E40" s="2">
        <v>0.0</v>
      </c>
      <c r="F40" s="2">
        <v>0.48</v>
      </c>
      <c r="G40" s="2">
        <v>0.0</v>
      </c>
      <c r="H40" s="2">
        <v>0.0</v>
      </c>
    </row>
    <row r="41" ht="14.25" customHeight="1">
      <c r="A41" s="2" t="s">
        <v>30</v>
      </c>
      <c r="B41" s="2" t="s">
        <v>23</v>
      </c>
      <c r="C41" s="2" t="s">
        <v>31</v>
      </c>
      <c r="D41" s="2">
        <v>2.38</v>
      </c>
      <c r="E41" s="2">
        <v>0.0</v>
      </c>
      <c r="F41" s="2">
        <v>0.48</v>
      </c>
      <c r="G41" s="2">
        <v>0.0</v>
      </c>
      <c r="H41" s="2">
        <v>0.0</v>
      </c>
    </row>
    <row r="42" ht="14.25" customHeight="1">
      <c r="A42" s="2" t="s">
        <v>30</v>
      </c>
      <c r="B42" s="2" t="s">
        <v>23</v>
      </c>
      <c r="C42" s="2" t="s">
        <v>32</v>
      </c>
      <c r="D42" s="2">
        <v>88.46</v>
      </c>
      <c r="E42" s="2">
        <v>0.01</v>
      </c>
      <c r="F42" s="2">
        <v>17.95</v>
      </c>
      <c r="G42" s="2">
        <v>0.13</v>
      </c>
      <c r="H42" s="2">
        <v>0.0</v>
      </c>
    </row>
    <row r="43" ht="14.25" customHeight="1">
      <c r="A43" s="2" t="s">
        <v>30</v>
      </c>
      <c r="B43" s="2" t="s">
        <v>23</v>
      </c>
      <c r="C43" s="2" t="s">
        <v>32</v>
      </c>
      <c r="D43" s="2">
        <v>14.27</v>
      </c>
      <c r="E43" s="2">
        <v>0.0</v>
      </c>
      <c r="F43" s="2">
        <v>2.9</v>
      </c>
      <c r="G43" s="2">
        <v>0.02</v>
      </c>
      <c r="H43" s="2">
        <v>0.0</v>
      </c>
    </row>
    <row r="44" ht="14.25" customHeight="1">
      <c r="A44" s="2" t="s">
        <v>30</v>
      </c>
      <c r="B44" s="2" t="s">
        <v>23</v>
      </c>
      <c r="C44" s="2" t="s">
        <v>26</v>
      </c>
      <c r="D44" s="2">
        <v>0.0</v>
      </c>
      <c r="E44" s="2">
        <v>0.0</v>
      </c>
      <c r="F44" s="2">
        <v>0.0</v>
      </c>
      <c r="G44" s="2">
        <v>0.0</v>
      </c>
      <c r="H44" s="2">
        <v>0.0</v>
      </c>
    </row>
    <row r="45" ht="14.25" customHeight="1">
      <c r="A45" s="2" t="s">
        <v>30</v>
      </c>
      <c r="B45" s="2" t="s">
        <v>23</v>
      </c>
      <c r="C45" s="2" t="s">
        <v>33</v>
      </c>
      <c r="D45" s="2">
        <v>0.0</v>
      </c>
      <c r="E45" s="2">
        <v>0.0</v>
      </c>
      <c r="F45" s="2">
        <v>0.0</v>
      </c>
      <c r="G45" s="2">
        <v>0.0</v>
      </c>
      <c r="H45" s="2">
        <v>0.0</v>
      </c>
    </row>
    <row r="46" ht="14.25" customHeight="1">
      <c r="A46" s="2" t="s">
        <v>30</v>
      </c>
      <c r="B46" s="2" t="s">
        <v>23</v>
      </c>
      <c r="C46" s="2" t="s">
        <v>10</v>
      </c>
      <c r="D46" s="2">
        <v>147.92</v>
      </c>
      <c r="E46" s="2">
        <v>0.01</v>
      </c>
      <c r="F46" s="2">
        <v>30.02</v>
      </c>
      <c r="G46" s="2">
        <v>0.21</v>
      </c>
      <c r="H46" s="2">
        <v>0.0</v>
      </c>
    </row>
    <row r="47" ht="14.25" customHeight="1">
      <c r="A47" s="2" t="s">
        <v>30</v>
      </c>
      <c r="B47" s="2" t="s">
        <v>29</v>
      </c>
      <c r="C47" s="2" t="s">
        <v>34</v>
      </c>
      <c r="D47" s="2">
        <v>14.27</v>
      </c>
      <c r="E47" s="2">
        <v>0.0</v>
      </c>
      <c r="F47" s="2">
        <v>2.9</v>
      </c>
      <c r="G47" s="2">
        <v>0.02</v>
      </c>
      <c r="H47" s="2">
        <v>0.0</v>
      </c>
    </row>
    <row r="48" ht="14.25" customHeight="1">
      <c r="A48" s="2" t="s">
        <v>30</v>
      </c>
      <c r="B48" s="2" t="s">
        <v>29</v>
      </c>
      <c r="C48" s="2" t="s">
        <v>35</v>
      </c>
      <c r="D48" s="2">
        <v>0.0</v>
      </c>
      <c r="E48" s="2">
        <v>0.0</v>
      </c>
      <c r="F48" s="2">
        <v>0.0</v>
      </c>
      <c r="G48" s="2">
        <v>0.0</v>
      </c>
      <c r="H48" s="2">
        <v>0.0</v>
      </c>
    </row>
    <row r="49" ht="14.25" customHeight="1">
      <c r="A49" s="2" t="s">
        <v>30</v>
      </c>
      <c r="B49" s="2" t="s">
        <v>29</v>
      </c>
      <c r="C49" s="2" t="s">
        <v>35</v>
      </c>
      <c r="D49" s="2">
        <v>0.0</v>
      </c>
      <c r="E49" s="2">
        <v>0.0</v>
      </c>
      <c r="F49" s="2">
        <v>0.0</v>
      </c>
      <c r="G49" s="2">
        <v>0.0</v>
      </c>
      <c r="H49" s="2">
        <v>0.0</v>
      </c>
    </row>
    <row r="50" ht="14.25" customHeight="1">
      <c r="A50" s="2" t="s">
        <v>30</v>
      </c>
      <c r="B50" s="2" t="s">
        <v>29</v>
      </c>
      <c r="C50" s="2" t="s">
        <v>35</v>
      </c>
      <c r="D50" s="2">
        <v>0.0</v>
      </c>
      <c r="E50" s="2">
        <v>0.0</v>
      </c>
      <c r="F50" s="2">
        <v>0.0</v>
      </c>
      <c r="G50" s="2">
        <v>0.0</v>
      </c>
      <c r="H50" s="2">
        <v>0.0</v>
      </c>
    </row>
    <row r="51" ht="14.25" customHeight="1">
      <c r="A51" s="2" t="s">
        <v>30</v>
      </c>
      <c r="B51" s="2" t="s">
        <v>29</v>
      </c>
      <c r="C51" s="2" t="s">
        <v>36</v>
      </c>
      <c r="D51" s="2">
        <v>0.0</v>
      </c>
      <c r="E51" s="2">
        <v>0.0</v>
      </c>
      <c r="F51" s="2">
        <v>0.0</v>
      </c>
      <c r="G51" s="2">
        <v>0.0</v>
      </c>
      <c r="H51" s="2">
        <v>0.0</v>
      </c>
    </row>
    <row r="52" ht="14.25" customHeight="1">
      <c r="A52" s="2" t="s">
        <v>30</v>
      </c>
      <c r="B52" s="2" t="s">
        <v>29</v>
      </c>
      <c r="C52" s="2" t="s">
        <v>10</v>
      </c>
      <c r="D52" s="2">
        <v>14.27</v>
      </c>
      <c r="E52" s="2">
        <v>0.0</v>
      </c>
      <c r="F52" s="2">
        <v>2.9</v>
      </c>
      <c r="G52" s="2">
        <v>0.02</v>
      </c>
      <c r="H52" s="2">
        <v>0.0</v>
      </c>
    </row>
    <row r="53" ht="14.25" customHeight="1">
      <c r="A53" s="2" t="s">
        <v>30</v>
      </c>
      <c r="B53" s="2" t="s">
        <v>18</v>
      </c>
      <c r="C53" s="2" t="s">
        <v>10</v>
      </c>
      <c r="D53" s="2">
        <v>0.0</v>
      </c>
      <c r="E53" s="2">
        <v>0.0</v>
      </c>
      <c r="F53" s="2">
        <v>0.0</v>
      </c>
      <c r="G53" s="2">
        <v>0.0</v>
      </c>
      <c r="H53" s="2">
        <v>0.0</v>
      </c>
    </row>
    <row r="54" ht="14.25" customHeight="1">
      <c r="A54" s="2" t="s">
        <v>37</v>
      </c>
      <c r="B54" s="2" t="s">
        <v>38</v>
      </c>
      <c r="C54" s="2" t="s">
        <v>39</v>
      </c>
      <c r="D54" s="2">
        <v>48.07</v>
      </c>
      <c r="E54" s="2">
        <v>0.0</v>
      </c>
      <c r="F54" s="2">
        <v>22.38</v>
      </c>
      <c r="G54" s="2">
        <v>0.02</v>
      </c>
      <c r="H54" s="2">
        <v>0.05</v>
      </c>
    </row>
    <row r="55" ht="14.25" customHeight="1">
      <c r="A55" s="2" t="s">
        <v>37</v>
      </c>
      <c r="B55" s="2" t="s">
        <v>38</v>
      </c>
      <c r="C55" s="2" t="s">
        <v>16</v>
      </c>
      <c r="D55" s="2">
        <v>9.37</v>
      </c>
      <c r="E55" s="2">
        <v>0.01</v>
      </c>
      <c r="F55" s="2">
        <v>7.31</v>
      </c>
      <c r="G55" s="2">
        <v>0.02</v>
      </c>
      <c r="H55" s="2">
        <v>0.0</v>
      </c>
    </row>
    <row r="56" ht="14.25" customHeight="1">
      <c r="A56" s="2" t="s">
        <v>37</v>
      </c>
      <c r="B56" s="2" t="s">
        <v>38</v>
      </c>
      <c r="C56" s="2" t="s">
        <v>17</v>
      </c>
      <c r="D56" s="2">
        <v>0.0</v>
      </c>
      <c r="E56" s="2">
        <v>0.0</v>
      </c>
      <c r="F56" s="2">
        <v>0.0</v>
      </c>
      <c r="G56" s="2">
        <v>0.0</v>
      </c>
      <c r="H56" s="2">
        <v>0.0</v>
      </c>
    </row>
    <row r="57" ht="14.25" customHeight="1">
      <c r="A57" s="2" t="s">
        <v>37</v>
      </c>
      <c r="B57" s="2" t="s">
        <v>38</v>
      </c>
      <c r="C57" s="2" t="s">
        <v>10</v>
      </c>
      <c r="D57" s="2">
        <v>57.44</v>
      </c>
      <c r="E57" s="2">
        <v>0.01</v>
      </c>
      <c r="F57" s="2">
        <v>29.69</v>
      </c>
      <c r="G57" s="2">
        <v>0.04</v>
      </c>
      <c r="H57" s="2">
        <v>0.05</v>
      </c>
    </row>
    <row r="58" ht="14.25" customHeight="1">
      <c r="A58" s="2" t="s">
        <v>37</v>
      </c>
      <c r="B58" s="2" t="s">
        <v>18</v>
      </c>
      <c r="C58" s="2" t="s">
        <v>10</v>
      </c>
      <c r="D58" s="2">
        <v>0.0</v>
      </c>
      <c r="E58" s="2">
        <v>0.0</v>
      </c>
      <c r="F58" s="2">
        <v>0.0</v>
      </c>
      <c r="G58" s="2">
        <v>0.0</v>
      </c>
      <c r="H58" s="2">
        <v>0.0</v>
      </c>
    </row>
    <row r="59" ht="14.25" customHeight="1">
      <c r="A59" s="2" t="s">
        <v>40</v>
      </c>
      <c r="B59" s="2" t="s">
        <v>21</v>
      </c>
      <c r="C59" s="2" t="s">
        <v>41</v>
      </c>
      <c r="D59" s="2">
        <v>35.77</v>
      </c>
      <c r="E59" s="2">
        <v>0.02</v>
      </c>
      <c r="F59" s="2">
        <v>108.3</v>
      </c>
      <c r="G59" s="2">
        <v>0.11</v>
      </c>
      <c r="H59" s="2">
        <v>0.12</v>
      </c>
    </row>
    <row r="60" ht="14.25" customHeight="1">
      <c r="A60" s="2" t="s">
        <v>40</v>
      </c>
      <c r="B60" s="2" t="s">
        <v>21</v>
      </c>
      <c r="C60" s="2" t="s">
        <v>42</v>
      </c>
      <c r="D60" s="2">
        <v>0.0</v>
      </c>
      <c r="E60" s="2">
        <v>0.0</v>
      </c>
      <c r="F60" s="2">
        <v>0.0</v>
      </c>
      <c r="G60" s="2">
        <v>0.0</v>
      </c>
      <c r="H60" s="2">
        <v>0.0</v>
      </c>
    </row>
    <row r="61" ht="14.25" customHeight="1">
      <c r="A61" s="2" t="s">
        <v>40</v>
      </c>
      <c r="B61" s="2" t="s">
        <v>21</v>
      </c>
      <c r="C61" s="2" t="s">
        <v>43</v>
      </c>
      <c r="D61" s="2">
        <v>0.0</v>
      </c>
      <c r="E61" s="2">
        <v>0.0</v>
      </c>
      <c r="F61" s="2">
        <v>0.0</v>
      </c>
      <c r="G61" s="2">
        <v>0.0</v>
      </c>
      <c r="H61" s="2">
        <v>0.0</v>
      </c>
    </row>
    <row r="62" ht="14.25" customHeight="1">
      <c r="A62" s="2" t="s">
        <v>40</v>
      </c>
      <c r="B62" s="2" t="s">
        <v>21</v>
      </c>
      <c r="C62" s="2" t="s">
        <v>44</v>
      </c>
      <c r="D62" s="2">
        <v>0.0</v>
      </c>
      <c r="E62" s="2">
        <v>0.0</v>
      </c>
      <c r="F62" s="2">
        <v>0.0</v>
      </c>
      <c r="G62" s="2">
        <v>0.0</v>
      </c>
      <c r="H62" s="2">
        <v>0.0</v>
      </c>
    </row>
    <row r="63" ht="14.25" customHeight="1">
      <c r="A63" s="2" t="s">
        <v>40</v>
      </c>
      <c r="B63" s="2" t="s">
        <v>21</v>
      </c>
      <c r="C63" s="2" t="s">
        <v>45</v>
      </c>
      <c r="D63" s="2">
        <v>0.0</v>
      </c>
      <c r="E63" s="2">
        <v>0.0</v>
      </c>
      <c r="F63" s="2">
        <v>0.0</v>
      </c>
      <c r="G63" s="2">
        <v>0.0</v>
      </c>
      <c r="H63" s="2">
        <v>0.0</v>
      </c>
    </row>
    <row r="64" ht="14.25" customHeight="1">
      <c r="A64" s="2" t="s">
        <v>40</v>
      </c>
      <c r="B64" s="2" t="s">
        <v>21</v>
      </c>
      <c r="C64" s="2" t="s">
        <v>10</v>
      </c>
      <c r="D64" s="2">
        <v>35.77</v>
      </c>
      <c r="E64" s="2">
        <v>0.02</v>
      </c>
      <c r="F64" s="2">
        <v>108.3</v>
      </c>
      <c r="G64" s="2">
        <v>0.11</v>
      </c>
      <c r="H64" s="2">
        <v>0.12</v>
      </c>
    </row>
    <row r="65" ht="14.25" customHeight="1">
      <c r="A65" s="2" t="s">
        <v>40</v>
      </c>
      <c r="B65" s="2" t="s">
        <v>22</v>
      </c>
      <c r="C65" s="2" t="s">
        <v>10</v>
      </c>
      <c r="D65" s="2">
        <v>0.0</v>
      </c>
      <c r="E65" s="2">
        <v>0.0</v>
      </c>
      <c r="F65" s="2">
        <v>0.0</v>
      </c>
      <c r="G65" s="2">
        <v>0.0</v>
      </c>
      <c r="H65" s="2">
        <v>0.0</v>
      </c>
    </row>
    <row r="66" ht="14.25" customHeight="1">
      <c r="A66" s="2" t="s">
        <v>40</v>
      </c>
      <c r="B66" s="2" t="s">
        <v>23</v>
      </c>
      <c r="C66" s="2" t="s">
        <v>24</v>
      </c>
      <c r="D66" s="2">
        <v>23.43</v>
      </c>
      <c r="E66" s="2">
        <v>0.0</v>
      </c>
      <c r="F66" s="2">
        <v>10.91</v>
      </c>
      <c r="G66" s="2">
        <v>0.01</v>
      </c>
      <c r="H66" s="2">
        <v>0.03</v>
      </c>
    </row>
    <row r="67" ht="14.25" customHeight="1">
      <c r="A67" s="2" t="s">
        <v>40</v>
      </c>
      <c r="B67" s="2" t="s">
        <v>23</v>
      </c>
      <c r="C67" s="2" t="s">
        <v>24</v>
      </c>
      <c r="D67" s="2">
        <v>2.42</v>
      </c>
      <c r="E67" s="2">
        <v>0.0</v>
      </c>
      <c r="F67" s="2">
        <v>1.13</v>
      </c>
      <c r="G67" s="2">
        <v>0.0</v>
      </c>
      <c r="H67" s="2">
        <v>0.0</v>
      </c>
    </row>
    <row r="68" ht="14.25" customHeight="1">
      <c r="A68" s="2" t="s">
        <v>40</v>
      </c>
      <c r="B68" s="2" t="s">
        <v>23</v>
      </c>
      <c r="C68" s="2" t="s">
        <v>25</v>
      </c>
      <c r="D68" s="2">
        <v>7.79</v>
      </c>
      <c r="E68" s="2">
        <v>0.0</v>
      </c>
      <c r="F68" s="2">
        <v>4.07</v>
      </c>
      <c r="G68" s="2">
        <v>0.0</v>
      </c>
      <c r="H68" s="2">
        <v>0.01</v>
      </c>
    </row>
    <row r="69" ht="14.25" customHeight="1">
      <c r="A69" s="2" t="s">
        <v>40</v>
      </c>
      <c r="B69" s="2" t="s">
        <v>23</v>
      </c>
      <c r="C69" s="2" t="s">
        <v>25</v>
      </c>
      <c r="D69" s="2">
        <v>0.31</v>
      </c>
      <c r="E69" s="2">
        <v>0.0</v>
      </c>
      <c r="F69" s="2">
        <v>0.17</v>
      </c>
      <c r="G69" s="2">
        <v>0.0</v>
      </c>
      <c r="H69" s="2">
        <v>0.0</v>
      </c>
    </row>
    <row r="70" ht="14.25" customHeight="1">
      <c r="A70" s="2" t="s">
        <v>40</v>
      </c>
      <c r="B70" s="2" t="s">
        <v>23</v>
      </c>
      <c r="C70" s="2" t="s">
        <v>25</v>
      </c>
      <c r="D70" s="2">
        <v>0.62</v>
      </c>
      <c r="E70" s="2">
        <v>0.0</v>
      </c>
      <c r="F70" s="2">
        <v>0.31</v>
      </c>
      <c r="G70" s="2">
        <v>0.0</v>
      </c>
      <c r="H70" s="2">
        <v>0.0</v>
      </c>
    </row>
    <row r="71" ht="14.25" customHeight="1">
      <c r="A71" s="2" t="s">
        <v>40</v>
      </c>
      <c r="B71" s="2" t="s">
        <v>23</v>
      </c>
      <c r="C71" s="2" t="s">
        <v>25</v>
      </c>
      <c r="D71" s="2">
        <v>0.11</v>
      </c>
      <c r="E71" s="2">
        <v>0.0</v>
      </c>
      <c r="F71" s="2">
        <v>0.12</v>
      </c>
      <c r="G71" s="2">
        <v>0.0</v>
      </c>
      <c r="H71" s="2">
        <v>0.0</v>
      </c>
    </row>
    <row r="72" ht="14.25" customHeight="1">
      <c r="A72" s="2" t="s">
        <v>40</v>
      </c>
      <c r="B72" s="2" t="s">
        <v>23</v>
      </c>
      <c r="C72" s="2" t="s">
        <v>31</v>
      </c>
      <c r="D72" s="2">
        <v>1.42</v>
      </c>
      <c r="E72" s="2">
        <v>0.0</v>
      </c>
      <c r="F72" s="2">
        <v>0.69</v>
      </c>
      <c r="G72" s="2">
        <v>0.0</v>
      </c>
      <c r="H72" s="2">
        <v>0.0</v>
      </c>
    </row>
    <row r="73" ht="14.25" customHeight="1">
      <c r="A73" s="2" t="s">
        <v>40</v>
      </c>
      <c r="B73" s="2" t="s">
        <v>23</v>
      </c>
      <c r="C73" s="2" t="s">
        <v>32</v>
      </c>
      <c r="D73" s="2">
        <v>0.0</v>
      </c>
      <c r="E73" s="2">
        <v>0.0</v>
      </c>
      <c r="F73" s="2">
        <v>0.0</v>
      </c>
      <c r="G73" s="2">
        <v>0.0</v>
      </c>
      <c r="H73" s="2">
        <v>0.0</v>
      </c>
    </row>
    <row r="74" ht="14.25" customHeight="1">
      <c r="A74" s="2" t="s">
        <v>40</v>
      </c>
      <c r="B74" s="2" t="s">
        <v>23</v>
      </c>
      <c r="C74" s="2" t="s">
        <v>26</v>
      </c>
      <c r="D74" s="2">
        <v>15.51</v>
      </c>
      <c r="E74" s="2">
        <v>0.0</v>
      </c>
      <c r="F74" s="2">
        <v>7.22</v>
      </c>
      <c r="G74" s="2">
        <v>0.01</v>
      </c>
      <c r="H74" s="2">
        <v>0.02</v>
      </c>
    </row>
    <row r="75" ht="14.25" customHeight="1">
      <c r="A75" s="2" t="s">
        <v>40</v>
      </c>
      <c r="B75" s="2" t="s">
        <v>23</v>
      </c>
      <c r="C75" s="2" t="s">
        <v>46</v>
      </c>
      <c r="D75" s="2">
        <v>0.0</v>
      </c>
      <c r="E75" s="2">
        <v>0.0</v>
      </c>
      <c r="F75" s="2">
        <v>0.0</v>
      </c>
      <c r="G75" s="2">
        <v>0.0</v>
      </c>
      <c r="H75" s="2">
        <v>0.0</v>
      </c>
    </row>
    <row r="76" ht="14.25" customHeight="1">
      <c r="A76" s="2" t="s">
        <v>40</v>
      </c>
      <c r="B76" s="2" t="s">
        <v>23</v>
      </c>
      <c r="C76" s="2" t="s">
        <v>33</v>
      </c>
      <c r="D76" s="2">
        <v>0.0</v>
      </c>
      <c r="E76" s="2">
        <v>0.0</v>
      </c>
      <c r="F76" s="2">
        <v>0.0</v>
      </c>
      <c r="G76" s="2">
        <v>0.0</v>
      </c>
      <c r="H76" s="2">
        <v>0.0</v>
      </c>
    </row>
    <row r="77" ht="14.25" customHeight="1">
      <c r="A77" s="2" t="s">
        <v>40</v>
      </c>
      <c r="B77" s="2" t="s">
        <v>23</v>
      </c>
      <c r="C77" s="2" t="s">
        <v>27</v>
      </c>
      <c r="D77" s="2">
        <v>47.63</v>
      </c>
      <c r="E77" s="2">
        <v>0.0</v>
      </c>
      <c r="F77" s="2">
        <v>22.18</v>
      </c>
      <c r="G77" s="2">
        <v>0.02</v>
      </c>
      <c r="H77" s="2">
        <v>0.05</v>
      </c>
    </row>
    <row r="78" ht="14.25" customHeight="1">
      <c r="A78" s="2" t="s">
        <v>40</v>
      </c>
      <c r="B78" s="2" t="s">
        <v>23</v>
      </c>
      <c r="C78" s="2" t="s">
        <v>28</v>
      </c>
      <c r="D78" s="2">
        <v>0.0</v>
      </c>
      <c r="E78" s="2">
        <v>0.0</v>
      </c>
      <c r="F78" s="2">
        <v>0.0</v>
      </c>
      <c r="G78" s="2">
        <v>0.0</v>
      </c>
      <c r="H78" s="2">
        <v>0.0</v>
      </c>
    </row>
    <row r="79" ht="14.25" customHeight="1">
      <c r="A79" s="2" t="s">
        <v>40</v>
      </c>
      <c r="B79" s="2" t="s">
        <v>23</v>
      </c>
      <c r="C79" s="2" t="s">
        <v>10</v>
      </c>
      <c r="D79" s="2">
        <v>99.24</v>
      </c>
      <c r="E79" s="2">
        <v>0.0</v>
      </c>
      <c r="F79" s="2">
        <v>46.8</v>
      </c>
      <c r="G79" s="2">
        <v>0.04</v>
      </c>
      <c r="H79" s="2">
        <v>0.11</v>
      </c>
    </row>
    <row r="80" ht="14.25" customHeight="1">
      <c r="A80" s="2" t="s">
        <v>40</v>
      </c>
      <c r="B80" s="2" t="s">
        <v>29</v>
      </c>
      <c r="C80" s="2" t="s">
        <v>10</v>
      </c>
      <c r="D80" s="2">
        <v>0.0</v>
      </c>
      <c r="E80" s="2">
        <v>0.0</v>
      </c>
      <c r="F80" s="2">
        <v>0.0</v>
      </c>
      <c r="G80" s="2">
        <v>0.0</v>
      </c>
      <c r="H80" s="2">
        <v>0.0</v>
      </c>
    </row>
    <row r="81" ht="14.25" customHeight="1">
      <c r="A81" s="2" t="s">
        <v>40</v>
      </c>
      <c r="B81" s="2" t="s">
        <v>18</v>
      </c>
      <c r="C81" s="2" t="s">
        <v>10</v>
      </c>
      <c r="D81" s="2">
        <v>0.0</v>
      </c>
      <c r="E81" s="2">
        <v>0.0</v>
      </c>
      <c r="F81" s="2">
        <v>0.0</v>
      </c>
      <c r="G81" s="2">
        <v>0.0</v>
      </c>
      <c r="H81" s="2">
        <v>0.0</v>
      </c>
    </row>
    <row r="82" ht="14.25" customHeight="1">
      <c r="A82" s="2" t="s">
        <v>47</v>
      </c>
      <c r="B82" s="2" t="s">
        <v>48</v>
      </c>
      <c r="C82" s="2" t="s">
        <v>49</v>
      </c>
      <c r="D82" s="2">
        <v>0.0</v>
      </c>
      <c r="E82" s="2">
        <v>0.0</v>
      </c>
      <c r="F82" s="2">
        <v>0.0</v>
      </c>
      <c r="G82" s="2">
        <v>0.0</v>
      </c>
      <c r="H82" s="2">
        <v>0.0</v>
      </c>
    </row>
    <row r="83" ht="14.25" customHeight="1">
      <c r="A83" s="2" t="s">
        <v>47</v>
      </c>
      <c r="B83" s="2" t="s">
        <v>48</v>
      </c>
      <c r="C83" s="2" t="s">
        <v>50</v>
      </c>
      <c r="D83" s="2">
        <v>0.0</v>
      </c>
      <c r="E83" s="2">
        <v>0.0</v>
      </c>
      <c r="F83" s="2">
        <v>0.0</v>
      </c>
      <c r="G83" s="2">
        <v>0.0</v>
      </c>
      <c r="H83" s="2">
        <v>0.0</v>
      </c>
    </row>
    <row r="84" ht="14.25" customHeight="1">
      <c r="A84" s="2" t="s">
        <v>47</v>
      </c>
      <c r="B84" s="2" t="s">
        <v>48</v>
      </c>
      <c r="C84" s="2" t="s">
        <v>10</v>
      </c>
      <c r="D84" s="2">
        <v>0.0</v>
      </c>
      <c r="E84" s="2">
        <v>0.0</v>
      </c>
      <c r="F84" s="2">
        <v>0.0</v>
      </c>
      <c r="G84" s="2">
        <v>0.0</v>
      </c>
      <c r="H84" s="2">
        <v>0.0</v>
      </c>
    </row>
    <row r="85" ht="14.25" customHeight="1">
      <c r="A85" s="2" t="s">
        <v>47</v>
      </c>
      <c r="B85" s="2" t="s">
        <v>51</v>
      </c>
      <c r="C85" s="2" t="s">
        <v>10</v>
      </c>
      <c r="D85" s="2">
        <v>0.0</v>
      </c>
      <c r="E85" s="2">
        <v>0.0</v>
      </c>
      <c r="F85" s="2">
        <v>0.0</v>
      </c>
      <c r="G85" s="2">
        <v>0.0</v>
      </c>
      <c r="H85" s="2">
        <v>0.0</v>
      </c>
    </row>
    <row r="86" ht="14.25" customHeight="1">
      <c r="A86" s="2" t="s">
        <v>52</v>
      </c>
      <c r="B86" s="2" t="s">
        <v>53</v>
      </c>
      <c r="C86" s="2" t="s">
        <v>54</v>
      </c>
      <c r="D86" s="2">
        <v>0.0</v>
      </c>
      <c r="E86" s="2">
        <v>0.0</v>
      </c>
      <c r="F86" s="2">
        <v>0.0</v>
      </c>
      <c r="G86" s="2">
        <v>0.0</v>
      </c>
      <c r="H86" s="2">
        <v>0.0</v>
      </c>
    </row>
    <row r="87" ht="14.25" customHeight="1">
      <c r="A87" s="2" t="s">
        <v>52</v>
      </c>
      <c r="B87" s="2" t="s">
        <v>53</v>
      </c>
      <c r="C87" s="2" t="s">
        <v>54</v>
      </c>
      <c r="D87" s="2">
        <v>0.0</v>
      </c>
      <c r="E87" s="2">
        <v>0.0</v>
      </c>
      <c r="F87" s="2">
        <v>0.0</v>
      </c>
      <c r="G87" s="2">
        <v>0.0</v>
      </c>
      <c r="H87" s="2">
        <v>0.0</v>
      </c>
    </row>
    <row r="88" ht="14.25" customHeight="1">
      <c r="A88" s="2" t="s">
        <v>52</v>
      </c>
      <c r="B88" s="2" t="s">
        <v>53</v>
      </c>
      <c r="C88" s="2" t="s">
        <v>54</v>
      </c>
      <c r="D88" s="2">
        <v>0.0</v>
      </c>
      <c r="E88" s="2">
        <v>0.0</v>
      </c>
      <c r="F88" s="2">
        <v>0.0</v>
      </c>
      <c r="G88" s="2">
        <v>0.0</v>
      </c>
      <c r="H88" s="2">
        <v>0.0</v>
      </c>
    </row>
    <row r="89" ht="14.25" customHeight="1">
      <c r="A89" s="2" t="s">
        <v>52</v>
      </c>
      <c r="B89" s="2" t="s">
        <v>53</v>
      </c>
      <c r="C89" s="2" t="s">
        <v>55</v>
      </c>
      <c r="D89" s="2">
        <v>0.0</v>
      </c>
      <c r="E89" s="2">
        <v>0.0</v>
      </c>
      <c r="F89" s="2">
        <v>0.0</v>
      </c>
      <c r="G89" s="2">
        <v>0.0</v>
      </c>
      <c r="H89" s="2">
        <v>0.0</v>
      </c>
    </row>
    <row r="90" ht="14.25" customHeight="1">
      <c r="A90" s="2" t="s">
        <v>52</v>
      </c>
      <c r="B90" s="2" t="s">
        <v>53</v>
      </c>
      <c r="C90" s="2" t="s">
        <v>10</v>
      </c>
      <c r="D90" s="2">
        <v>0.0</v>
      </c>
      <c r="E90" s="2">
        <v>0.0</v>
      </c>
      <c r="F90" s="2">
        <v>0.0</v>
      </c>
      <c r="G90" s="2">
        <v>0.0</v>
      </c>
      <c r="H90" s="2">
        <v>0.0</v>
      </c>
    </row>
    <row r="91" ht="14.25" customHeight="1">
      <c r="A91" s="2" t="s">
        <v>52</v>
      </c>
      <c r="B91" s="2" t="s">
        <v>18</v>
      </c>
      <c r="C91" s="2" t="s">
        <v>10</v>
      </c>
      <c r="D91" s="2">
        <v>0.0</v>
      </c>
      <c r="E91" s="2">
        <v>0.0</v>
      </c>
      <c r="F91" s="2">
        <v>0.0</v>
      </c>
      <c r="G91" s="2">
        <v>0.0</v>
      </c>
      <c r="H91" s="2">
        <v>0.0</v>
      </c>
    </row>
    <row r="92" ht="14.25" customHeight="1">
      <c r="A92" s="2" t="s">
        <v>56</v>
      </c>
      <c r="B92" s="2" t="s">
        <v>21</v>
      </c>
      <c r="C92" s="2" t="s">
        <v>41</v>
      </c>
      <c r="D92" s="2">
        <v>0.0</v>
      </c>
      <c r="E92" s="2">
        <v>0.0</v>
      </c>
      <c r="F92" s="2">
        <v>0.0</v>
      </c>
      <c r="G92" s="2">
        <v>0.0</v>
      </c>
      <c r="H92" s="2">
        <v>0.0</v>
      </c>
    </row>
    <row r="93" ht="14.25" customHeight="1">
      <c r="A93" s="2" t="s">
        <v>56</v>
      </c>
      <c r="B93" s="2" t="s">
        <v>21</v>
      </c>
      <c r="C93" s="2" t="s">
        <v>41</v>
      </c>
      <c r="D93" s="2">
        <v>1.3</v>
      </c>
      <c r="E93" s="2">
        <v>0.01</v>
      </c>
      <c r="F93" s="2">
        <v>12.27</v>
      </c>
      <c r="G93" s="2">
        <v>-0.02</v>
      </c>
      <c r="H93" s="2">
        <v>0.0</v>
      </c>
    </row>
    <row r="94" ht="14.25" customHeight="1">
      <c r="A94" s="2" t="s">
        <v>56</v>
      </c>
      <c r="B94" s="2" t="s">
        <v>21</v>
      </c>
      <c r="C94" s="2" t="s">
        <v>42</v>
      </c>
      <c r="D94" s="2">
        <v>0.29</v>
      </c>
      <c r="E94" s="2">
        <v>0.0</v>
      </c>
      <c r="F94" s="2">
        <v>0.69</v>
      </c>
      <c r="G94" s="2">
        <v>0.0</v>
      </c>
      <c r="H94" s="2">
        <v>0.0</v>
      </c>
    </row>
    <row r="95" ht="14.25" customHeight="1">
      <c r="A95" s="2" t="s">
        <v>56</v>
      </c>
      <c r="B95" s="2" t="s">
        <v>21</v>
      </c>
      <c r="C95" s="2" t="s">
        <v>43</v>
      </c>
      <c r="D95" s="2">
        <v>0.35</v>
      </c>
      <c r="E95" s="2">
        <v>0.0</v>
      </c>
      <c r="F95" s="2">
        <v>0.83</v>
      </c>
      <c r="G95" s="2">
        <v>0.0</v>
      </c>
      <c r="H95" s="2">
        <v>0.01</v>
      </c>
    </row>
    <row r="96" ht="14.25" customHeight="1">
      <c r="A96" s="2" t="s">
        <v>56</v>
      </c>
      <c r="B96" s="2" t="s">
        <v>21</v>
      </c>
      <c r="C96" s="2" t="s">
        <v>57</v>
      </c>
      <c r="D96" s="2">
        <v>0.0</v>
      </c>
      <c r="E96" s="2">
        <v>0.0</v>
      </c>
      <c r="F96" s="2">
        <v>0.0</v>
      </c>
      <c r="G96" s="2">
        <v>0.0</v>
      </c>
      <c r="H96" s="2">
        <v>0.0</v>
      </c>
    </row>
    <row r="97" ht="14.25" customHeight="1">
      <c r="A97" s="2" t="s">
        <v>56</v>
      </c>
      <c r="B97" s="2" t="s">
        <v>21</v>
      </c>
      <c r="C97" s="2" t="s">
        <v>58</v>
      </c>
      <c r="D97" s="2">
        <v>0.0</v>
      </c>
      <c r="E97" s="2">
        <v>0.0</v>
      </c>
      <c r="F97" s="2">
        <v>0.0</v>
      </c>
      <c r="G97" s="2">
        <v>0.0</v>
      </c>
      <c r="H97" s="2">
        <v>0.0</v>
      </c>
    </row>
    <row r="98" ht="14.25" customHeight="1">
      <c r="A98" s="2" t="s">
        <v>56</v>
      </c>
      <c r="B98" s="2" t="s">
        <v>21</v>
      </c>
      <c r="C98" s="2" t="s">
        <v>44</v>
      </c>
      <c r="D98" s="2">
        <v>0.0</v>
      </c>
      <c r="E98" s="2">
        <v>0.0</v>
      </c>
      <c r="F98" s="2">
        <v>0.0</v>
      </c>
      <c r="G98" s="2">
        <v>0.0</v>
      </c>
      <c r="H98" s="2">
        <v>0.0</v>
      </c>
    </row>
    <row r="99" ht="14.25" customHeight="1">
      <c r="A99" s="2" t="s">
        <v>56</v>
      </c>
      <c r="B99" s="2" t="s">
        <v>21</v>
      </c>
      <c r="C99" s="2" t="s">
        <v>45</v>
      </c>
      <c r="D99" s="2">
        <v>0.0</v>
      </c>
      <c r="E99" s="2">
        <v>0.0</v>
      </c>
      <c r="F99" s="2">
        <v>0.0</v>
      </c>
      <c r="G99" s="2">
        <v>0.0</v>
      </c>
      <c r="H99" s="2">
        <v>0.0</v>
      </c>
    </row>
    <row r="100" ht="14.25" customHeight="1">
      <c r="A100" s="2" t="s">
        <v>56</v>
      </c>
      <c r="B100" s="2" t="s">
        <v>21</v>
      </c>
      <c r="C100" s="2" t="s">
        <v>59</v>
      </c>
      <c r="D100" s="2">
        <v>0.0</v>
      </c>
      <c r="E100" s="2">
        <v>0.0</v>
      </c>
      <c r="F100" s="2">
        <v>0.0</v>
      </c>
      <c r="G100" s="2">
        <v>0.0</v>
      </c>
      <c r="H100" s="2">
        <v>0.0</v>
      </c>
    </row>
    <row r="101" ht="14.25" customHeight="1">
      <c r="A101" s="2" t="s">
        <v>56</v>
      </c>
      <c r="B101" s="2" t="s">
        <v>21</v>
      </c>
      <c r="C101" s="2" t="s">
        <v>10</v>
      </c>
      <c r="D101" s="2">
        <v>1.94</v>
      </c>
      <c r="E101" s="2">
        <v>0.01</v>
      </c>
      <c r="F101" s="2">
        <v>13.79</v>
      </c>
      <c r="G101" s="2">
        <v>-0.02</v>
      </c>
      <c r="H101" s="2">
        <v>0.01</v>
      </c>
    </row>
    <row r="102" ht="14.25" customHeight="1">
      <c r="A102" s="2" t="s">
        <v>56</v>
      </c>
      <c r="B102" s="2" t="s">
        <v>22</v>
      </c>
      <c r="C102" s="2" t="s">
        <v>60</v>
      </c>
      <c r="D102" s="2">
        <v>0.0</v>
      </c>
      <c r="E102" s="2">
        <v>0.0</v>
      </c>
      <c r="F102" s="2">
        <v>0.0</v>
      </c>
      <c r="G102" s="2">
        <v>0.0</v>
      </c>
      <c r="H102" s="2">
        <v>0.0</v>
      </c>
    </row>
    <row r="103" ht="14.25" customHeight="1">
      <c r="A103" s="2" t="s">
        <v>56</v>
      </c>
      <c r="B103" s="2" t="s">
        <v>22</v>
      </c>
      <c r="C103" s="2" t="s">
        <v>61</v>
      </c>
      <c r="D103" s="2">
        <v>1.15</v>
      </c>
      <c r="E103" s="2">
        <v>0.0</v>
      </c>
      <c r="F103" s="2">
        <v>2.77</v>
      </c>
      <c r="G103" s="2">
        <v>0.0</v>
      </c>
      <c r="H103" s="2">
        <v>0.02</v>
      </c>
    </row>
    <row r="104" ht="14.25" customHeight="1">
      <c r="A104" s="2" t="s">
        <v>56</v>
      </c>
      <c r="B104" s="2" t="s">
        <v>22</v>
      </c>
      <c r="C104" s="2" t="s">
        <v>62</v>
      </c>
      <c r="D104" s="2">
        <v>0.81</v>
      </c>
      <c r="E104" s="2">
        <v>0.0</v>
      </c>
      <c r="F104" s="2">
        <v>1.94</v>
      </c>
      <c r="G104" s="2">
        <v>0.0</v>
      </c>
      <c r="H104" s="2">
        <v>0.01</v>
      </c>
    </row>
    <row r="105" ht="14.25" customHeight="1">
      <c r="A105" s="2" t="s">
        <v>56</v>
      </c>
      <c r="B105" s="2" t="s">
        <v>22</v>
      </c>
      <c r="C105" s="2" t="s">
        <v>63</v>
      </c>
      <c r="D105" s="2">
        <v>0.0</v>
      </c>
      <c r="E105" s="2">
        <v>0.0</v>
      </c>
      <c r="F105" s="2">
        <v>0.0</v>
      </c>
      <c r="G105" s="2">
        <v>0.0</v>
      </c>
      <c r="H105" s="2">
        <v>0.0</v>
      </c>
    </row>
    <row r="106" ht="14.25" customHeight="1">
      <c r="A106" s="2" t="s">
        <v>56</v>
      </c>
      <c r="B106" s="2" t="s">
        <v>22</v>
      </c>
      <c r="C106" s="2" t="s">
        <v>64</v>
      </c>
      <c r="D106" s="2">
        <v>0.0</v>
      </c>
      <c r="E106" s="2">
        <v>0.0</v>
      </c>
      <c r="F106" s="2">
        <v>0.0</v>
      </c>
      <c r="G106" s="2">
        <v>0.0</v>
      </c>
      <c r="H106" s="2">
        <v>0.0</v>
      </c>
    </row>
    <row r="107" ht="14.25" customHeight="1">
      <c r="A107" s="2" t="s">
        <v>56</v>
      </c>
      <c r="B107" s="2" t="s">
        <v>22</v>
      </c>
      <c r="C107" s="2" t="s">
        <v>65</v>
      </c>
      <c r="D107" s="2">
        <v>0.0</v>
      </c>
      <c r="E107" s="2">
        <v>0.0</v>
      </c>
      <c r="F107" s="2">
        <v>0.0</v>
      </c>
      <c r="G107" s="2">
        <v>0.0</v>
      </c>
      <c r="H107" s="2">
        <v>0.0</v>
      </c>
    </row>
    <row r="108" ht="14.25" customHeight="1">
      <c r="A108" s="2" t="s">
        <v>56</v>
      </c>
      <c r="B108" s="2" t="s">
        <v>22</v>
      </c>
      <c r="C108" s="2" t="s">
        <v>66</v>
      </c>
      <c r="D108" s="2">
        <v>0.0</v>
      </c>
      <c r="E108" s="2">
        <v>0.0</v>
      </c>
      <c r="F108" s="2">
        <v>0.0</v>
      </c>
      <c r="G108" s="2">
        <v>0.0</v>
      </c>
      <c r="H108" s="2">
        <v>0.0</v>
      </c>
    </row>
    <row r="109" ht="14.25" customHeight="1">
      <c r="A109" s="2" t="s">
        <v>56</v>
      </c>
      <c r="B109" s="2" t="s">
        <v>22</v>
      </c>
      <c r="C109" s="2" t="s">
        <v>67</v>
      </c>
      <c r="D109" s="2">
        <v>0.0</v>
      </c>
      <c r="E109" s="2">
        <v>0.0</v>
      </c>
      <c r="F109" s="2">
        <v>0.0</v>
      </c>
      <c r="G109" s="2">
        <v>0.0</v>
      </c>
      <c r="H109" s="2">
        <v>0.0</v>
      </c>
    </row>
    <row r="110" ht="14.25" customHeight="1">
      <c r="A110" s="2" t="s">
        <v>56</v>
      </c>
      <c r="B110" s="2" t="s">
        <v>22</v>
      </c>
      <c r="C110" s="2" t="s">
        <v>68</v>
      </c>
      <c r="D110" s="2">
        <v>0.0</v>
      </c>
      <c r="E110" s="2">
        <v>0.0</v>
      </c>
      <c r="F110" s="2">
        <v>0.0</v>
      </c>
      <c r="G110" s="2">
        <v>0.0</v>
      </c>
      <c r="H110" s="2">
        <v>0.0</v>
      </c>
    </row>
    <row r="111" ht="14.25" customHeight="1">
      <c r="A111" s="2" t="s">
        <v>56</v>
      </c>
      <c r="B111" s="2" t="s">
        <v>22</v>
      </c>
      <c r="C111" s="2" t="s">
        <v>10</v>
      </c>
      <c r="D111" s="2">
        <v>1.96</v>
      </c>
      <c r="E111" s="2">
        <v>0.0</v>
      </c>
      <c r="F111" s="2">
        <v>4.71</v>
      </c>
      <c r="G111" s="2">
        <v>0.0</v>
      </c>
      <c r="H111" s="2">
        <v>0.03</v>
      </c>
    </row>
    <row r="112" ht="14.25" customHeight="1">
      <c r="A112" s="2" t="s">
        <v>56</v>
      </c>
      <c r="B112" s="2" t="s">
        <v>23</v>
      </c>
      <c r="C112" s="2" t="s">
        <v>24</v>
      </c>
      <c r="D112" s="2">
        <v>5.71</v>
      </c>
      <c r="E112" s="2">
        <v>0.0</v>
      </c>
      <c r="F112" s="2">
        <v>1.16</v>
      </c>
      <c r="G112" s="2">
        <v>0.01</v>
      </c>
      <c r="H112" s="2">
        <v>0.0</v>
      </c>
    </row>
    <row r="113" ht="14.25" customHeight="1">
      <c r="A113" s="2" t="s">
        <v>56</v>
      </c>
      <c r="B113" s="2" t="s">
        <v>23</v>
      </c>
      <c r="C113" s="2" t="s">
        <v>24</v>
      </c>
      <c r="D113" s="2">
        <v>4.28</v>
      </c>
      <c r="E113" s="2">
        <v>0.0</v>
      </c>
      <c r="F113" s="2">
        <v>0.87</v>
      </c>
      <c r="G113" s="2">
        <v>0.01</v>
      </c>
      <c r="H113" s="2">
        <v>0.0</v>
      </c>
    </row>
    <row r="114" ht="14.25" customHeight="1">
      <c r="A114" s="2" t="s">
        <v>56</v>
      </c>
      <c r="B114" s="2" t="s">
        <v>23</v>
      </c>
      <c r="C114" s="2" t="s">
        <v>25</v>
      </c>
      <c r="D114" s="2">
        <v>4.04</v>
      </c>
      <c r="E114" s="2">
        <v>0.0</v>
      </c>
      <c r="F114" s="2">
        <v>0.82</v>
      </c>
      <c r="G114" s="2">
        <v>0.01</v>
      </c>
      <c r="H114" s="2">
        <v>0.0</v>
      </c>
    </row>
    <row r="115" ht="14.25" customHeight="1">
      <c r="A115" s="2" t="s">
        <v>56</v>
      </c>
      <c r="B115" s="2" t="s">
        <v>23</v>
      </c>
      <c r="C115" s="2" t="s">
        <v>32</v>
      </c>
      <c r="D115" s="2">
        <v>21.4</v>
      </c>
      <c r="E115" s="2">
        <v>0.0</v>
      </c>
      <c r="F115" s="2">
        <v>4.34</v>
      </c>
      <c r="G115" s="2">
        <v>0.03</v>
      </c>
      <c r="H115" s="2">
        <v>0.0</v>
      </c>
    </row>
    <row r="116" ht="14.25" customHeight="1">
      <c r="A116" s="2" t="s">
        <v>56</v>
      </c>
      <c r="B116" s="2" t="s">
        <v>23</v>
      </c>
      <c r="C116" s="2" t="s">
        <v>32</v>
      </c>
      <c r="D116" s="2">
        <v>13.38</v>
      </c>
      <c r="E116" s="2">
        <v>0.0</v>
      </c>
      <c r="F116" s="2">
        <v>2.71</v>
      </c>
      <c r="G116" s="2">
        <v>0.02</v>
      </c>
      <c r="H116" s="2">
        <v>0.0</v>
      </c>
    </row>
    <row r="117" ht="14.25" customHeight="1">
      <c r="A117" s="2" t="s">
        <v>56</v>
      </c>
      <c r="B117" s="2" t="s">
        <v>23</v>
      </c>
      <c r="C117" s="2" t="s">
        <v>26</v>
      </c>
      <c r="D117" s="2">
        <v>0.0</v>
      </c>
      <c r="E117" s="2">
        <v>0.0</v>
      </c>
      <c r="F117" s="2">
        <v>0.0</v>
      </c>
      <c r="G117" s="2">
        <v>0.0</v>
      </c>
      <c r="H117" s="2">
        <v>0.0</v>
      </c>
    </row>
    <row r="118" ht="14.25" customHeight="1">
      <c r="A118" s="2" t="s">
        <v>56</v>
      </c>
      <c r="B118" s="2" t="s">
        <v>23</v>
      </c>
      <c r="C118" s="2" t="s">
        <v>33</v>
      </c>
      <c r="D118" s="2">
        <v>0.0</v>
      </c>
      <c r="E118" s="2">
        <v>0.0</v>
      </c>
      <c r="F118" s="2">
        <v>0.0</v>
      </c>
      <c r="G118" s="2">
        <v>0.0</v>
      </c>
      <c r="H118" s="2">
        <v>0.0</v>
      </c>
    </row>
    <row r="119" ht="14.25" customHeight="1">
      <c r="A119" s="2" t="s">
        <v>56</v>
      </c>
      <c r="B119" s="2" t="s">
        <v>23</v>
      </c>
      <c r="C119" s="2" t="s">
        <v>10</v>
      </c>
      <c r="D119" s="2">
        <v>48.81</v>
      </c>
      <c r="E119" s="2">
        <v>0.0</v>
      </c>
      <c r="F119" s="2">
        <v>9.9</v>
      </c>
      <c r="G119" s="2">
        <v>0.08</v>
      </c>
      <c r="H119" s="2">
        <v>0.0</v>
      </c>
    </row>
    <row r="120" ht="14.25" customHeight="1">
      <c r="A120" s="2" t="s">
        <v>56</v>
      </c>
      <c r="B120" s="2" t="s">
        <v>29</v>
      </c>
      <c r="C120" s="2" t="s">
        <v>10</v>
      </c>
      <c r="D120" s="2">
        <v>0.0</v>
      </c>
      <c r="E120" s="2">
        <v>0.0</v>
      </c>
      <c r="F120" s="2">
        <v>0.0</v>
      </c>
      <c r="G120" s="2">
        <v>0.0</v>
      </c>
      <c r="H120" s="2">
        <v>0.0</v>
      </c>
    </row>
    <row r="121" ht="14.25" customHeight="1">
      <c r="A121" s="2" t="s">
        <v>56</v>
      </c>
      <c r="B121" s="2" t="s">
        <v>18</v>
      </c>
      <c r="C121" s="2" t="s">
        <v>10</v>
      </c>
      <c r="D121" s="2">
        <v>0.0</v>
      </c>
      <c r="E121" s="2">
        <v>0.0</v>
      </c>
      <c r="F121" s="2">
        <v>0.0</v>
      </c>
      <c r="G121" s="2">
        <v>0.0</v>
      </c>
      <c r="H121" s="2">
        <v>0.0</v>
      </c>
    </row>
    <row r="122" ht="14.25" customHeight="1">
      <c r="A122" s="2" t="s">
        <v>69</v>
      </c>
      <c r="B122" s="2" t="s">
        <v>21</v>
      </c>
      <c r="C122" s="2" t="s">
        <v>10</v>
      </c>
      <c r="D122" s="2">
        <v>0.0</v>
      </c>
      <c r="E122" s="2">
        <v>0.0</v>
      </c>
      <c r="F122" s="2">
        <v>0.0</v>
      </c>
      <c r="G122" s="2">
        <v>0.0</v>
      </c>
      <c r="H122" s="2">
        <v>0.0</v>
      </c>
    </row>
    <row r="123" ht="14.25" customHeight="1">
      <c r="A123" s="2" t="s">
        <v>69</v>
      </c>
      <c r="B123" s="2" t="s">
        <v>22</v>
      </c>
      <c r="C123" s="2" t="s">
        <v>10</v>
      </c>
      <c r="D123" s="2">
        <v>0.0</v>
      </c>
      <c r="E123" s="2">
        <v>0.0</v>
      </c>
      <c r="F123" s="2">
        <v>0.0</v>
      </c>
      <c r="G123" s="2">
        <v>0.0</v>
      </c>
      <c r="H123" s="2">
        <v>0.0</v>
      </c>
    </row>
    <row r="124" ht="14.25" customHeight="1">
      <c r="A124" s="2" t="s">
        <v>69</v>
      </c>
      <c r="B124" s="2" t="s">
        <v>70</v>
      </c>
      <c r="C124" s="2" t="s">
        <v>24</v>
      </c>
      <c r="D124" s="2">
        <v>332.9</v>
      </c>
      <c r="E124" s="2">
        <v>0.05</v>
      </c>
      <c r="F124" s="2">
        <v>67.55</v>
      </c>
      <c r="G124" s="2">
        <v>0.49</v>
      </c>
      <c r="H124" s="2">
        <v>0.0</v>
      </c>
    </row>
    <row r="125" ht="14.25" customHeight="1">
      <c r="A125" s="2" t="s">
        <v>69</v>
      </c>
      <c r="B125" s="2" t="s">
        <v>70</v>
      </c>
      <c r="C125" s="2" t="s">
        <v>25</v>
      </c>
      <c r="D125" s="2">
        <v>123.65</v>
      </c>
      <c r="E125" s="2">
        <v>0.02</v>
      </c>
      <c r="F125" s="2">
        <v>25.09</v>
      </c>
      <c r="G125" s="2">
        <v>0.18</v>
      </c>
      <c r="H125" s="2">
        <v>0.0</v>
      </c>
    </row>
    <row r="126" ht="14.25" customHeight="1">
      <c r="A126" s="2" t="s">
        <v>69</v>
      </c>
      <c r="B126" s="2" t="s">
        <v>70</v>
      </c>
      <c r="C126" s="2" t="s">
        <v>25</v>
      </c>
      <c r="D126" s="2">
        <v>0.0</v>
      </c>
      <c r="E126" s="2">
        <v>0.0</v>
      </c>
      <c r="F126" s="2">
        <v>0.0</v>
      </c>
      <c r="G126" s="2">
        <v>0.0</v>
      </c>
      <c r="H126" s="2">
        <v>0.0</v>
      </c>
    </row>
    <row r="127" ht="14.25" customHeight="1">
      <c r="A127" s="2" t="s">
        <v>69</v>
      </c>
      <c r="B127" s="2" t="s">
        <v>70</v>
      </c>
      <c r="C127" s="2" t="s">
        <v>25</v>
      </c>
      <c r="D127" s="2">
        <v>0.0</v>
      </c>
      <c r="E127" s="2">
        <v>0.0</v>
      </c>
      <c r="F127" s="2">
        <v>0.0</v>
      </c>
      <c r="G127" s="2">
        <v>0.0</v>
      </c>
      <c r="H127" s="2">
        <v>0.0</v>
      </c>
    </row>
    <row r="128" ht="14.25" customHeight="1">
      <c r="A128" s="2" t="s">
        <v>69</v>
      </c>
      <c r="B128" s="2" t="s">
        <v>70</v>
      </c>
      <c r="C128" s="2" t="s">
        <v>25</v>
      </c>
      <c r="D128" s="2">
        <v>0.0</v>
      </c>
      <c r="E128" s="2">
        <v>0.0</v>
      </c>
      <c r="F128" s="2">
        <v>0.0</v>
      </c>
      <c r="G128" s="2">
        <v>0.0</v>
      </c>
      <c r="H128" s="2">
        <v>0.0</v>
      </c>
    </row>
    <row r="129" ht="14.25" customHeight="1">
      <c r="A129" s="2" t="s">
        <v>69</v>
      </c>
      <c r="B129" s="2" t="s">
        <v>70</v>
      </c>
      <c r="C129" s="2" t="s">
        <v>25</v>
      </c>
      <c r="D129" s="2">
        <v>73.71</v>
      </c>
      <c r="E129" s="2">
        <v>0.01</v>
      </c>
      <c r="F129" s="2">
        <v>14.96</v>
      </c>
      <c r="G129" s="2">
        <v>0.11</v>
      </c>
      <c r="H129" s="2">
        <v>0.0</v>
      </c>
    </row>
    <row r="130" ht="14.25" customHeight="1">
      <c r="A130" s="2" t="s">
        <v>69</v>
      </c>
      <c r="B130" s="2" t="s">
        <v>70</v>
      </c>
      <c r="C130" s="2" t="s">
        <v>31</v>
      </c>
      <c r="D130" s="2">
        <v>9.51</v>
      </c>
      <c r="E130" s="2">
        <v>0.0</v>
      </c>
      <c r="F130" s="2">
        <v>1.93</v>
      </c>
      <c r="G130" s="2">
        <v>0.01</v>
      </c>
      <c r="H130" s="2">
        <v>0.0</v>
      </c>
    </row>
    <row r="131" ht="14.25" customHeight="1">
      <c r="A131" s="2" t="s">
        <v>69</v>
      </c>
      <c r="B131" s="2" t="s">
        <v>70</v>
      </c>
      <c r="C131" s="2" t="s">
        <v>31</v>
      </c>
      <c r="D131" s="2">
        <v>83.23</v>
      </c>
      <c r="E131" s="2">
        <v>0.01</v>
      </c>
      <c r="F131" s="2">
        <v>16.89</v>
      </c>
      <c r="G131" s="2">
        <v>0.12</v>
      </c>
      <c r="H131" s="2">
        <v>0.0</v>
      </c>
    </row>
    <row r="132" ht="14.25" customHeight="1">
      <c r="A132" s="2" t="s">
        <v>69</v>
      </c>
      <c r="B132" s="2" t="s">
        <v>70</v>
      </c>
      <c r="C132" s="2" t="s">
        <v>32</v>
      </c>
      <c r="D132" s="2">
        <v>326.72</v>
      </c>
      <c r="E132" s="2">
        <v>0.05</v>
      </c>
      <c r="F132" s="2">
        <v>66.3</v>
      </c>
      <c r="G132" s="2">
        <v>0.48</v>
      </c>
      <c r="H132" s="2">
        <v>0.0</v>
      </c>
    </row>
    <row r="133" ht="14.25" customHeight="1">
      <c r="A133" s="2" t="s">
        <v>69</v>
      </c>
      <c r="B133" s="2" t="s">
        <v>70</v>
      </c>
      <c r="C133" s="2" t="s">
        <v>32</v>
      </c>
      <c r="D133" s="2">
        <v>863.17</v>
      </c>
      <c r="E133" s="2">
        <v>0.12</v>
      </c>
      <c r="F133" s="2">
        <v>175.15</v>
      </c>
      <c r="G133" s="2">
        <v>1.28</v>
      </c>
      <c r="H133" s="2">
        <v>0.01</v>
      </c>
    </row>
    <row r="134" ht="14.25" customHeight="1">
      <c r="A134" s="2" t="s">
        <v>69</v>
      </c>
      <c r="B134" s="2" t="s">
        <v>70</v>
      </c>
      <c r="C134" s="2" t="s">
        <v>26</v>
      </c>
      <c r="D134" s="2">
        <v>0.0</v>
      </c>
      <c r="E134" s="2">
        <v>0.0</v>
      </c>
      <c r="F134" s="2">
        <v>0.0</v>
      </c>
      <c r="G134" s="2">
        <v>0.0</v>
      </c>
      <c r="H134" s="2">
        <v>0.0</v>
      </c>
    </row>
    <row r="135" ht="14.25" customHeight="1">
      <c r="A135" s="2" t="s">
        <v>69</v>
      </c>
      <c r="B135" s="2" t="s">
        <v>70</v>
      </c>
      <c r="C135" s="2" t="s">
        <v>33</v>
      </c>
      <c r="D135" s="2">
        <v>0.0</v>
      </c>
      <c r="E135" s="2">
        <v>0.0</v>
      </c>
      <c r="F135" s="2">
        <v>0.0</v>
      </c>
      <c r="G135" s="2">
        <v>0.0</v>
      </c>
      <c r="H135" s="2">
        <v>0.0</v>
      </c>
    </row>
    <row r="136" ht="14.25" customHeight="1">
      <c r="A136" s="2" t="s">
        <v>69</v>
      </c>
      <c r="B136" s="2" t="s">
        <v>70</v>
      </c>
      <c r="C136" s="2" t="s">
        <v>33</v>
      </c>
      <c r="D136" s="2">
        <v>0.0</v>
      </c>
      <c r="E136" s="2">
        <v>0.0</v>
      </c>
      <c r="F136" s="2">
        <v>0.0</v>
      </c>
      <c r="G136" s="2">
        <v>0.0</v>
      </c>
      <c r="H136" s="2">
        <v>0.0</v>
      </c>
    </row>
    <row r="137" ht="14.25" customHeight="1">
      <c r="A137" s="2" t="s">
        <v>69</v>
      </c>
      <c r="B137" s="2" t="s">
        <v>70</v>
      </c>
      <c r="C137" s="2" t="s">
        <v>33</v>
      </c>
      <c r="D137" s="2">
        <v>0.0</v>
      </c>
      <c r="E137" s="2">
        <v>0.0</v>
      </c>
      <c r="F137" s="2">
        <v>0.0</v>
      </c>
      <c r="G137" s="2">
        <v>0.0</v>
      </c>
      <c r="H137" s="2">
        <v>0.0</v>
      </c>
    </row>
    <row r="138" ht="14.25" customHeight="1">
      <c r="A138" s="2" t="s">
        <v>69</v>
      </c>
      <c r="B138" s="2" t="s">
        <v>70</v>
      </c>
      <c r="C138" s="2" t="s">
        <v>33</v>
      </c>
      <c r="D138" s="2">
        <v>0.0</v>
      </c>
      <c r="E138" s="2">
        <v>0.0</v>
      </c>
      <c r="F138" s="2">
        <v>0.0</v>
      </c>
      <c r="G138" s="2">
        <v>0.0</v>
      </c>
      <c r="H138" s="2">
        <v>0.0</v>
      </c>
    </row>
    <row r="139" ht="14.25" customHeight="1">
      <c r="A139" s="2" t="s">
        <v>69</v>
      </c>
      <c r="B139" s="2" t="s">
        <v>70</v>
      </c>
      <c r="C139" s="2" t="s">
        <v>10</v>
      </c>
      <c r="D139" s="2">
        <v>1812.89</v>
      </c>
      <c r="E139" s="2">
        <v>0.26</v>
      </c>
      <c r="F139" s="2">
        <v>367.87</v>
      </c>
      <c r="G139" s="2">
        <v>2.67</v>
      </c>
      <c r="H139" s="2">
        <v>0.01</v>
      </c>
    </row>
    <row r="140" ht="14.25" customHeight="1">
      <c r="A140" s="2" t="s">
        <v>69</v>
      </c>
      <c r="B140" s="2" t="s">
        <v>71</v>
      </c>
      <c r="C140" s="2" t="s">
        <v>34</v>
      </c>
      <c r="D140" s="2">
        <v>47.56</v>
      </c>
      <c r="E140" s="2">
        <v>0.01</v>
      </c>
      <c r="F140" s="2">
        <v>9.65</v>
      </c>
      <c r="G140" s="2">
        <v>0.07</v>
      </c>
      <c r="H140" s="2">
        <v>0.0</v>
      </c>
    </row>
    <row r="141" ht="14.25" customHeight="1">
      <c r="A141" s="2" t="s">
        <v>69</v>
      </c>
      <c r="B141" s="2" t="s">
        <v>71</v>
      </c>
      <c r="C141" s="2" t="s">
        <v>35</v>
      </c>
      <c r="D141" s="2">
        <v>0.0</v>
      </c>
      <c r="E141" s="2">
        <v>0.0</v>
      </c>
      <c r="F141" s="2">
        <v>0.0</v>
      </c>
      <c r="G141" s="2">
        <v>0.0</v>
      </c>
      <c r="H141" s="2">
        <v>0.0</v>
      </c>
    </row>
    <row r="142" ht="14.25" customHeight="1">
      <c r="A142" s="2" t="s">
        <v>69</v>
      </c>
      <c r="B142" s="2" t="s">
        <v>71</v>
      </c>
      <c r="C142" s="2" t="s">
        <v>35</v>
      </c>
      <c r="D142" s="2">
        <v>0.0</v>
      </c>
      <c r="E142" s="2">
        <v>0.0</v>
      </c>
      <c r="F142" s="2">
        <v>0.0</v>
      </c>
      <c r="G142" s="2">
        <v>0.0</v>
      </c>
      <c r="H142" s="2">
        <v>0.0</v>
      </c>
    </row>
    <row r="143" ht="14.25" customHeight="1">
      <c r="A143" s="2" t="s">
        <v>69</v>
      </c>
      <c r="B143" s="2" t="s">
        <v>71</v>
      </c>
      <c r="C143" s="2" t="s">
        <v>35</v>
      </c>
      <c r="D143" s="2">
        <v>0.0</v>
      </c>
      <c r="E143" s="2">
        <v>0.0</v>
      </c>
      <c r="F143" s="2">
        <v>0.0</v>
      </c>
      <c r="G143" s="2">
        <v>0.0</v>
      </c>
      <c r="H143" s="2">
        <v>0.0</v>
      </c>
    </row>
    <row r="144" ht="14.25" customHeight="1">
      <c r="A144" s="2" t="s">
        <v>69</v>
      </c>
      <c r="B144" s="2" t="s">
        <v>71</v>
      </c>
      <c r="C144" s="2" t="s">
        <v>36</v>
      </c>
      <c r="D144" s="2">
        <v>0.0</v>
      </c>
      <c r="E144" s="2">
        <v>0.0</v>
      </c>
      <c r="F144" s="2">
        <v>0.0</v>
      </c>
      <c r="G144" s="2">
        <v>0.0</v>
      </c>
      <c r="H144" s="2">
        <v>0.0</v>
      </c>
    </row>
    <row r="145" ht="14.25" customHeight="1">
      <c r="A145" s="2" t="s">
        <v>69</v>
      </c>
      <c r="B145" s="2" t="s">
        <v>71</v>
      </c>
      <c r="C145" s="2" t="s">
        <v>10</v>
      </c>
      <c r="D145" s="2">
        <v>47.56</v>
      </c>
      <c r="E145" s="2">
        <v>0.01</v>
      </c>
      <c r="F145" s="2">
        <v>9.65</v>
      </c>
      <c r="G145" s="2">
        <v>0.07</v>
      </c>
      <c r="H145" s="2">
        <v>0.0</v>
      </c>
    </row>
    <row r="146" ht="14.25" customHeight="1">
      <c r="A146" s="2" t="s">
        <v>69</v>
      </c>
      <c r="B146" s="2" t="s">
        <v>18</v>
      </c>
      <c r="C146" s="2" t="s">
        <v>10</v>
      </c>
      <c r="D146" s="2">
        <v>0.0</v>
      </c>
      <c r="E146" s="2">
        <v>0.0</v>
      </c>
      <c r="F146" s="2">
        <v>0.0</v>
      </c>
      <c r="G146" s="2">
        <v>0.0</v>
      </c>
      <c r="H146" s="2">
        <v>0.0</v>
      </c>
    </row>
    <row r="147" ht="14.25" customHeight="1">
      <c r="A147" s="2" t="s">
        <v>72</v>
      </c>
      <c r="B147" s="2" t="s">
        <v>38</v>
      </c>
      <c r="C147" s="2" t="s">
        <v>39</v>
      </c>
      <c r="D147" s="2">
        <v>20.42</v>
      </c>
      <c r="E147" s="2">
        <v>0.0</v>
      </c>
      <c r="F147" s="2">
        <v>9.51</v>
      </c>
      <c r="G147" s="2">
        <v>0.01</v>
      </c>
      <c r="H147" s="2">
        <v>0.02</v>
      </c>
    </row>
    <row r="148" ht="14.25" customHeight="1">
      <c r="A148" s="2" t="s">
        <v>72</v>
      </c>
      <c r="B148" s="2" t="s">
        <v>38</v>
      </c>
      <c r="C148" s="2" t="s">
        <v>16</v>
      </c>
      <c r="D148" s="2">
        <v>28.58</v>
      </c>
      <c r="E148" s="2">
        <v>0.0</v>
      </c>
      <c r="F148" s="2">
        <v>13.31</v>
      </c>
      <c r="G148" s="2">
        <v>0.01</v>
      </c>
      <c r="H148" s="2">
        <v>0.03</v>
      </c>
    </row>
    <row r="149" ht="14.25" customHeight="1">
      <c r="A149" s="2" t="s">
        <v>72</v>
      </c>
      <c r="B149" s="2" t="s">
        <v>38</v>
      </c>
      <c r="C149" s="2" t="s">
        <v>17</v>
      </c>
      <c r="D149" s="2">
        <v>0.0</v>
      </c>
      <c r="E149" s="2">
        <v>0.0</v>
      </c>
      <c r="F149" s="2">
        <v>0.0</v>
      </c>
      <c r="G149" s="2">
        <v>0.0</v>
      </c>
      <c r="H149" s="2">
        <v>0.0</v>
      </c>
    </row>
    <row r="150" ht="14.25" customHeight="1">
      <c r="A150" s="2" t="s">
        <v>72</v>
      </c>
      <c r="B150" s="2" t="s">
        <v>38</v>
      </c>
      <c r="C150" s="2" t="s">
        <v>10</v>
      </c>
      <c r="D150" s="2">
        <v>49.0</v>
      </c>
      <c r="E150" s="2">
        <v>0.0</v>
      </c>
      <c r="F150" s="2">
        <v>22.82</v>
      </c>
      <c r="G150" s="2">
        <v>0.02</v>
      </c>
      <c r="H150" s="2">
        <v>0.05</v>
      </c>
    </row>
    <row r="151" ht="14.25" customHeight="1">
      <c r="A151" s="2" t="s">
        <v>72</v>
      </c>
      <c r="B151" s="2" t="s">
        <v>18</v>
      </c>
      <c r="C151" s="2" t="s">
        <v>10</v>
      </c>
      <c r="D151" s="2">
        <v>0.0</v>
      </c>
      <c r="E151" s="2">
        <v>0.0</v>
      </c>
      <c r="F151" s="2">
        <v>0.0</v>
      </c>
      <c r="G151" s="2">
        <v>0.0</v>
      </c>
      <c r="H151" s="2">
        <v>0.0</v>
      </c>
    </row>
    <row r="152" ht="14.25" customHeight="1">
      <c r="A152" s="2" t="s">
        <v>73</v>
      </c>
      <c r="B152" s="2" t="s">
        <v>21</v>
      </c>
      <c r="C152" s="2" t="s">
        <v>10</v>
      </c>
      <c r="D152" s="2">
        <v>0.0</v>
      </c>
      <c r="E152" s="2">
        <v>0.0</v>
      </c>
      <c r="F152" s="2">
        <v>0.0</v>
      </c>
      <c r="G152" s="2">
        <v>0.0</v>
      </c>
      <c r="H152" s="2">
        <v>0.0</v>
      </c>
    </row>
    <row r="153" ht="14.25" customHeight="1">
      <c r="A153" s="2" t="s">
        <v>73</v>
      </c>
      <c r="B153" s="2" t="s">
        <v>22</v>
      </c>
      <c r="C153" s="2" t="s">
        <v>10</v>
      </c>
      <c r="D153" s="2">
        <v>0.0</v>
      </c>
      <c r="E153" s="2">
        <v>0.0</v>
      </c>
      <c r="F153" s="2">
        <v>0.0</v>
      </c>
      <c r="G153" s="2">
        <v>0.0</v>
      </c>
      <c r="H153" s="2">
        <v>0.0</v>
      </c>
    </row>
    <row r="154" ht="14.25" customHeight="1">
      <c r="A154" s="2" t="s">
        <v>73</v>
      </c>
      <c r="B154" s="2" t="s">
        <v>23</v>
      </c>
      <c r="C154" s="2" t="s">
        <v>24</v>
      </c>
      <c r="D154" s="2">
        <v>7.13</v>
      </c>
      <c r="E154" s="2">
        <v>0.0</v>
      </c>
      <c r="F154" s="2">
        <v>1.45</v>
      </c>
      <c r="G154" s="2">
        <v>0.01</v>
      </c>
      <c r="H154" s="2">
        <v>0.0</v>
      </c>
    </row>
    <row r="155" ht="14.25" customHeight="1">
      <c r="A155" s="2" t="s">
        <v>73</v>
      </c>
      <c r="B155" s="2" t="s">
        <v>23</v>
      </c>
      <c r="C155" s="2" t="s">
        <v>24</v>
      </c>
      <c r="D155" s="2">
        <v>0.0</v>
      </c>
      <c r="E155" s="2">
        <v>0.0</v>
      </c>
      <c r="F155" s="2">
        <v>0.0</v>
      </c>
      <c r="G155" s="2">
        <v>0.0</v>
      </c>
      <c r="H155" s="2">
        <v>0.0</v>
      </c>
    </row>
    <row r="156" ht="14.25" customHeight="1">
      <c r="A156" s="2" t="s">
        <v>73</v>
      </c>
      <c r="B156" s="2" t="s">
        <v>23</v>
      </c>
      <c r="C156" s="2" t="s">
        <v>25</v>
      </c>
      <c r="D156" s="2">
        <v>3.57</v>
      </c>
      <c r="E156" s="2">
        <v>0.0</v>
      </c>
      <c r="F156" s="2">
        <v>0.72</v>
      </c>
      <c r="G156" s="2">
        <v>0.01</v>
      </c>
      <c r="H156" s="2">
        <v>0.0</v>
      </c>
    </row>
    <row r="157" ht="14.25" customHeight="1">
      <c r="A157" s="2" t="s">
        <v>73</v>
      </c>
      <c r="B157" s="2" t="s">
        <v>23</v>
      </c>
      <c r="C157" s="2" t="s">
        <v>32</v>
      </c>
      <c r="D157" s="2">
        <v>3.57</v>
      </c>
      <c r="E157" s="2">
        <v>0.0</v>
      </c>
      <c r="F157" s="2">
        <v>0.72</v>
      </c>
      <c r="G157" s="2">
        <v>0.01</v>
      </c>
      <c r="H157" s="2">
        <v>0.0</v>
      </c>
    </row>
    <row r="158" ht="14.25" customHeight="1">
      <c r="A158" s="2" t="s">
        <v>73</v>
      </c>
      <c r="B158" s="2" t="s">
        <v>23</v>
      </c>
      <c r="C158" s="2" t="s">
        <v>32</v>
      </c>
      <c r="D158" s="2">
        <v>15.16</v>
      </c>
      <c r="E158" s="2">
        <v>0.0</v>
      </c>
      <c r="F158" s="2">
        <v>3.08</v>
      </c>
      <c r="G158" s="2">
        <v>0.02</v>
      </c>
      <c r="H158" s="2">
        <v>0.0</v>
      </c>
    </row>
    <row r="159" ht="14.25" customHeight="1">
      <c r="A159" s="2" t="s">
        <v>73</v>
      </c>
      <c r="B159" s="2" t="s">
        <v>23</v>
      </c>
      <c r="C159" s="2" t="s">
        <v>26</v>
      </c>
      <c r="D159" s="2">
        <v>0.0</v>
      </c>
      <c r="E159" s="2">
        <v>0.0</v>
      </c>
      <c r="F159" s="2">
        <v>0.0</v>
      </c>
      <c r="G159" s="2">
        <v>0.0</v>
      </c>
      <c r="H159" s="2">
        <v>0.0</v>
      </c>
    </row>
    <row r="160" ht="14.25" customHeight="1">
      <c r="A160" s="2" t="s">
        <v>73</v>
      </c>
      <c r="B160" s="2" t="s">
        <v>23</v>
      </c>
      <c r="C160" s="2" t="s">
        <v>10</v>
      </c>
      <c r="D160" s="2">
        <v>29.43</v>
      </c>
      <c r="E160" s="2">
        <v>0.0</v>
      </c>
      <c r="F160" s="2">
        <v>5.97</v>
      </c>
      <c r="G160" s="2">
        <v>0.05</v>
      </c>
      <c r="H160" s="2">
        <v>0.0</v>
      </c>
    </row>
    <row r="161" ht="14.25" customHeight="1">
      <c r="A161" s="2" t="s">
        <v>73</v>
      </c>
      <c r="B161" s="2" t="s">
        <v>29</v>
      </c>
      <c r="C161" s="2" t="s">
        <v>10</v>
      </c>
      <c r="D161" s="2">
        <v>0.0</v>
      </c>
      <c r="E161" s="2">
        <v>0.0</v>
      </c>
      <c r="F161" s="2">
        <v>0.0</v>
      </c>
      <c r="G161" s="2">
        <v>0.0</v>
      </c>
      <c r="H161" s="2">
        <v>0.0</v>
      </c>
    </row>
    <row r="162" ht="14.25" customHeight="1">
      <c r="A162" s="2" t="s">
        <v>73</v>
      </c>
      <c r="B162" s="2" t="s">
        <v>18</v>
      </c>
      <c r="C162" s="2" t="s">
        <v>10</v>
      </c>
      <c r="D162" s="2">
        <v>0.0</v>
      </c>
      <c r="E162" s="2">
        <v>0.0</v>
      </c>
      <c r="F162" s="2">
        <v>0.0</v>
      </c>
      <c r="G162" s="2">
        <v>0.0</v>
      </c>
      <c r="H162" s="2">
        <v>0.0</v>
      </c>
    </row>
    <row r="163" ht="14.25" customHeight="1">
      <c r="A163" s="2" t="s">
        <v>74</v>
      </c>
      <c r="B163" s="2" t="s">
        <v>23</v>
      </c>
      <c r="C163" s="2" t="s">
        <v>24</v>
      </c>
      <c r="D163" s="2">
        <v>2.38</v>
      </c>
      <c r="E163" s="2">
        <v>0.0</v>
      </c>
      <c r="F163" s="2">
        <v>0.48</v>
      </c>
      <c r="G163" s="2">
        <v>0.0</v>
      </c>
      <c r="H163" s="2">
        <v>0.0</v>
      </c>
    </row>
    <row r="164" ht="14.25" customHeight="1">
      <c r="A164" s="2" t="s">
        <v>74</v>
      </c>
      <c r="B164" s="2" t="s">
        <v>23</v>
      </c>
      <c r="C164" s="2" t="s">
        <v>24</v>
      </c>
      <c r="D164" s="2">
        <v>0.24</v>
      </c>
      <c r="E164" s="2">
        <v>0.0</v>
      </c>
      <c r="F164" s="2">
        <v>0.05</v>
      </c>
      <c r="G164" s="2">
        <v>0.0</v>
      </c>
      <c r="H164" s="2">
        <v>0.0</v>
      </c>
    </row>
    <row r="165" ht="14.25" customHeight="1">
      <c r="A165" s="2" t="s">
        <v>74</v>
      </c>
      <c r="B165" s="2" t="s">
        <v>23</v>
      </c>
      <c r="C165" s="2" t="s">
        <v>25</v>
      </c>
      <c r="D165" s="2">
        <v>0.71</v>
      </c>
      <c r="E165" s="2">
        <v>0.0</v>
      </c>
      <c r="F165" s="2">
        <v>0.14</v>
      </c>
      <c r="G165" s="2">
        <v>0.0</v>
      </c>
      <c r="H165" s="2">
        <v>0.0</v>
      </c>
    </row>
    <row r="166" ht="14.25" customHeight="1">
      <c r="A166" s="2" t="s">
        <v>74</v>
      </c>
      <c r="B166" s="2" t="s">
        <v>23</v>
      </c>
      <c r="C166" s="2" t="s">
        <v>25</v>
      </c>
      <c r="D166" s="2">
        <v>0.71</v>
      </c>
      <c r="E166" s="2">
        <v>0.0</v>
      </c>
      <c r="F166" s="2">
        <v>0.14</v>
      </c>
      <c r="G166" s="2">
        <v>0.0</v>
      </c>
      <c r="H166" s="2">
        <v>0.0</v>
      </c>
    </row>
    <row r="167" ht="14.25" customHeight="1">
      <c r="A167" s="2" t="s">
        <v>74</v>
      </c>
      <c r="B167" s="2" t="s">
        <v>23</v>
      </c>
      <c r="C167" s="2" t="s">
        <v>31</v>
      </c>
      <c r="D167" s="2">
        <v>0.71</v>
      </c>
      <c r="E167" s="2">
        <v>0.0</v>
      </c>
      <c r="F167" s="2">
        <v>0.14</v>
      </c>
      <c r="G167" s="2">
        <v>0.0</v>
      </c>
      <c r="H167" s="2">
        <v>0.0</v>
      </c>
    </row>
    <row r="168" ht="14.25" customHeight="1">
      <c r="A168" s="2" t="s">
        <v>74</v>
      </c>
      <c r="B168" s="2" t="s">
        <v>23</v>
      </c>
      <c r="C168" s="2" t="s">
        <v>32</v>
      </c>
      <c r="D168" s="2">
        <v>9.27</v>
      </c>
      <c r="E168" s="2">
        <v>0.0</v>
      </c>
      <c r="F168" s="2">
        <v>1.88</v>
      </c>
      <c r="G168" s="2">
        <v>0.01</v>
      </c>
      <c r="H168" s="2">
        <v>0.0</v>
      </c>
    </row>
    <row r="169" ht="14.25" customHeight="1">
      <c r="A169" s="2" t="s">
        <v>74</v>
      </c>
      <c r="B169" s="2" t="s">
        <v>23</v>
      </c>
      <c r="C169" s="2" t="s">
        <v>32</v>
      </c>
      <c r="D169" s="2">
        <v>3.57</v>
      </c>
      <c r="E169" s="2">
        <v>0.0</v>
      </c>
      <c r="F169" s="2">
        <v>0.72</v>
      </c>
      <c r="G169" s="2">
        <v>0.01</v>
      </c>
      <c r="H169" s="2">
        <v>0.0</v>
      </c>
    </row>
    <row r="170" ht="14.25" customHeight="1">
      <c r="A170" s="2" t="s">
        <v>74</v>
      </c>
      <c r="B170" s="2" t="s">
        <v>23</v>
      </c>
      <c r="C170" s="2" t="s">
        <v>26</v>
      </c>
      <c r="D170" s="2">
        <v>0.0</v>
      </c>
      <c r="E170" s="2">
        <v>0.0</v>
      </c>
      <c r="F170" s="2">
        <v>0.0</v>
      </c>
      <c r="G170" s="2">
        <v>0.0</v>
      </c>
      <c r="H170" s="2">
        <v>0.0</v>
      </c>
    </row>
    <row r="171" ht="14.25" customHeight="1">
      <c r="A171" s="2" t="s">
        <v>74</v>
      </c>
      <c r="B171" s="2" t="s">
        <v>23</v>
      </c>
      <c r="C171" s="2" t="s">
        <v>33</v>
      </c>
      <c r="D171" s="2">
        <v>0.0</v>
      </c>
      <c r="E171" s="2">
        <v>0.0</v>
      </c>
      <c r="F171" s="2">
        <v>0.0</v>
      </c>
      <c r="G171" s="2">
        <v>0.0</v>
      </c>
      <c r="H171" s="2">
        <v>0.0</v>
      </c>
    </row>
    <row r="172" ht="14.25" customHeight="1">
      <c r="A172" s="2" t="s">
        <v>74</v>
      </c>
      <c r="B172" s="2" t="s">
        <v>23</v>
      </c>
      <c r="C172" s="2" t="s">
        <v>10</v>
      </c>
      <c r="D172" s="2">
        <v>17.59</v>
      </c>
      <c r="E172" s="2">
        <v>0.0</v>
      </c>
      <c r="F172" s="2">
        <v>3.55</v>
      </c>
      <c r="G172" s="2">
        <v>0.02</v>
      </c>
      <c r="H172" s="2">
        <v>0.0</v>
      </c>
    </row>
    <row r="173" ht="14.25" customHeight="1">
      <c r="A173" s="2" t="s">
        <v>74</v>
      </c>
      <c r="B173" s="2" t="s">
        <v>29</v>
      </c>
      <c r="C173" s="2" t="s">
        <v>34</v>
      </c>
      <c r="D173" s="2">
        <v>1.19</v>
      </c>
      <c r="E173" s="2">
        <v>0.0</v>
      </c>
      <c r="F173" s="2">
        <v>0.24</v>
      </c>
      <c r="G173" s="2">
        <v>0.0</v>
      </c>
      <c r="H173" s="2">
        <v>0.0</v>
      </c>
    </row>
    <row r="174" ht="14.25" customHeight="1">
      <c r="A174" s="2" t="s">
        <v>74</v>
      </c>
      <c r="B174" s="2" t="s">
        <v>29</v>
      </c>
      <c r="C174" s="2" t="s">
        <v>34</v>
      </c>
      <c r="D174" s="2">
        <v>4.76</v>
      </c>
      <c r="E174" s="2">
        <v>0.0</v>
      </c>
      <c r="F174" s="2">
        <v>0.97</v>
      </c>
      <c r="G174" s="2">
        <v>0.01</v>
      </c>
      <c r="H174" s="2">
        <v>0.0</v>
      </c>
    </row>
    <row r="175" ht="14.25" customHeight="1">
      <c r="A175" s="2" t="s">
        <v>74</v>
      </c>
      <c r="B175" s="2" t="s">
        <v>29</v>
      </c>
      <c r="C175" s="2" t="s">
        <v>35</v>
      </c>
      <c r="D175" s="2">
        <v>0.0</v>
      </c>
      <c r="E175" s="2">
        <v>0.0</v>
      </c>
      <c r="F175" s="2">
        <v>0.0</v>
      </c>
      <c r="G175" s="2">
        <v>0.0</v>
      </c>
      <c r="H175" s="2">
        <v>0.0</v>
      </c>
    </row>
    <row r="176" ht="14.25" customHeight="1">
      <c r="A176" s="2" t="s">
        <v>74</v>
      </c>
      <c r="B176" s="2" t="s">
        <v>29</v>
      </c>
      <c r="C176" s="2" t="s">
        <v>35</v>
      </c>
      <c r="D176" s="2">
        <v>0.0</v>
      </c>
      <c r="E176" s="2">
        <v>0.0</v>
      </c>
      <c r="F176" s="2">
        <v>0.0</v>
      </c>
      <c r="G176" s="2">
        <v>0.0</v>
      </c>
      <c r="H176" s="2">
        <v>0.0</v>
      </c>
    </row>
    <row r="177" ht="14.25" customHeight="1">
      <c r="A177" s="2" t="s">
        <v>74</v>
      </c>
      <c r="B177" s="2" t="s">
        <v>29</v>
      </c>
      <c r="C177" s="2" t="s">
        <v>35</v>
      </c>
      <c r="D177" s="2">
        <v>0.0</v>
      </c>
      <c r="E177" s="2">
        <v>0.0</v>
      </c>
      <c r="F177" s="2">
        <v>0.0</v>
      </c>
      <c r="G177" s="2">
        <v>0.0</v>
      </c>
      <c r="H177" s="2">
        <v>0.0</v>
      </c>
    </row>
    <row r="178" ht="14.25" customHeight="1">
      <c r="A178" s="2" t="s">
        <v>74</v>
      </c>
      <c r="B178" s="2" t="s">
        <v>29</v>
      </c>
      <c r="C178" s="2" t="s">
        <v>36</v>
      </c>
      <c r="D178" s="2">
        <v>0.0</v>
      </c>
      <c r="E178" s="2">
        <v>0.0</v>
      </c>
      <c r="F178" s="2">
        <v>0.0</v>
      </c>
      <c r="G178" s="2">
        <v>0.0</v>
      </c>
      <c r="H178" s="2">
        <v>0.0</v>
      </c>
    </row>
    <row r="179" ht="14.25" customHeight="1">
      <c r="A179" s="2" t="s">
        <v>74</v>
      </c>
      <c r="B179" s="2" t="s">
        <v>29</v>
      </c>
      <c r="C179" s="2" t="s">
        <v>10</v>
      </c>
      <c r="D179" s="2">
        <v>5.95</v>
      </c>
      <c r="E179" s="2">
        <v>0.0</v>
      </c>
      <c r="F179" s="2">
        <v>1.21</v>
      </c>
      <c r="G179" s="2">
        <v>0.01</v>
      </c>
      <c r="H179" s="2">
        <v>0.0</v>
      </c>
    </row>
    <row r="180" ht="14.25" customHeight="1">
      <c r="A180" s="2" t="s">
        <v>74</v>
      </c>
      <c r="B180" s="2" t="s">
        <v>18</v>
      </c>
      <c r="C180" s="2" t="s">
        <v>10</v>
      </c>
      <c r="D180" s="2">
        <v>0.0</v>
      </c>
      <c r="E180" s="2">
        <v>0.0</v>
      </c>
      <c r="F180" s="2">
        <v>0.0</v>
      </c>
      <c r="G180" s="2">
        <v>0.0</v>
      </c>
      <c r="H180" s="2">
        <v>0.0</v>
      </c>
    </row>
    <row r="181" ht="14.25" customHeight="1">
      <c r="A181" s="2" t="s">
        <v>75</v>
      </c>
      <c r="B181" s="2" t="s">
        <v>23</v>
      </c>
      <c r="C181" s="2" t="s">
        <v>24</v>
      </c>
      <c r="D181" s="2">
        <v>38.05</v>
      </c>
      <c r="E181" s="2">
        <v>0.01</v>
      </c>
      <c r="F181" s="2">
        <v>7.72</v>
      </c>
      <c r="G181" s="2">
        <v>0.06</v>
      </c>
      <c r="H181" s="2">
        <v>0.0</v>
      </c>
    </row>
    <row r="182" ht="14.25" customHeight="1">
      <c r="A182" s="2" t="s">
        <v>75</v>
      </c>
      <c r="B182" s="2" t="s">
        <v>23</v>
      </c>
      <c r="C182" s="2" t="s">
        <v>24</v>
      </c>
      <c r="D182" s="2">
        <v>8.32</v>
      </c>
      <c r="E182" s="2">
        <v>0.0</v>
      </c>
      <c r="F182" s="2">
        <v>1.69</v>
      </c>
      <c r="G182" s="2">
        <v>0.01</v>
      </c>
      <c r="H182" s="2">
        <v>0.0</v>
      </c>
    </row>
    <row r="183" ht="14.25" customHeight="1">
      <c r="A183" s="2" t="s">
        <v>75</v>
      </c>
      <c r="B183" s="2" t="s">
        <v>23</v>
      </c>
      <c r="C183" s="2" t="s">
        <v>25</v>
      </c>
      <c r="D183" s="2">
        <v>17.83</v>
      </c>
      <c r="E183" s="2">
        <v>0.0</v>
      </c>
      <c r="F183" s="2">
        <v>3.62</v>
      </c>
      <c r="G183" s="2">
        <v>0.03</v>
      </c>
      <c r="H183" s="2">
        <v>0.0</v>
      </c>
    </row>
    <row r="184" ht="14.25" customHeight="1">
      <c r="A184" s="2" t="s">
        <v>75</v>
      </c>
      <c r="B184" s="2" t="s">
        <v>23</v>
      </c>
      <c r="C184" s="2" t="s">
        <v>25</v>
      </c>
      <c r="D184" s="2">
        <v>0.0</v>
      </c>
      <c r="E184" s="2">
        <v>0.0</v>
      </c>
      <c r="F184" s="2">
        <v>0.0</v>
      </c>
      <c r="G184" s="2">
        <v>0.0</v>
      </c>
      <c r="H184" s="2">
        <v>0.0</v>
      </c>
    </row>
    <row r="185" ht="14.25" customHeight="1">
      <c r="A185" s="2" t="s">
        <v>75</v>
      </c>
      <c r="B185" s="2" t="s">
        <v>23</v>
      </c>
      <c r="C185" s="2" t="s">
        <v>25</v>
      </c>
      <c r="D185" s="2">
        <v>0.0</v>
      </c>
      <c r="E185" s="2">
        <v>0.0</v>
      </c>
      <c r="F185" s="2">
        <v>0.0</v>
      </c>
      <c r="G185" s="2">
        <v>0.0</v>
      </c>
      <c r="H185" s="2">
        <v>0.0</v>
      </c>
    </row>
    <row r="186" ht="14.25" customHeight="1">
      <c r="A186" s="2" t="s">
        <v>75</v>
      </c>
      <c r="B186" s="2" t="s">
        <v>23</v>
      </c>
      <c r="C186" s="2" t="s">
        <v>25</v>
      </c>
      <c r="D186" s="2">
        <v>10.94</v>
      </c>
      <c r="E186" s="2">
        <v>0.0</v>
      </c>
      <c r="F186" s="2">
        <v>2.22</v>
      </c>
      <c r="G186" s="2">
        <v>0.02</v>
      </c>
      <c r="H186" s="2">
        <v>0.0</v>
      </c>
    </row>
    <row r="187" ht="14.25" customHeight="1">
      <c r="A187" s="2" t="s">
        <v>75</v>
      </c>
      <c r="B187" s="2" t="s">
        <v>23</v>
      </c>
      <c r="C187" s="2" t="s">
        <v>31</v>
      </c>
      <c r="D187" s="2">
        <v>30.91</v>
      </c>
      <c r="E187" s="2">
        <v>0.0</v>
      </c>
      <c r="F187" s="2">
        <v>6.27</v>
      </c>
      <c r="G187" s="2">
        <v>0.05</v>
      </c>
      <c r="H187" s="2">
        <v>0.0</v>
      </c>
    </row>
    <row r="188" ht="14.25" customHeight="1">
      <c r="A188" s="2" t="s">
        <v>75</v>
      </c>
      <c r="B188" s="2" t="s">
        <v>23</v>
      </c>
      <c r="C188" s="2" t="s">
        <v>31</v>
      </c>
      <c r="D188" s="2">
        <v>3.57</v>
      </c>
      <c r="E188" s="2">
        <v>0.0</v>
      </c>
      <c r="F188" s="2">
        <v>0.72</v>
      </c>
      <c r="G188" s="2">
        <v>0.01</v>
      </c>
      <c r="H188" s="2">
        <v>0.0</v>
      </c>
    </row>
    <row r="189" ht="14.25" customHeight="1">
      <c r="A189" s="2" t="s">
        <v>75</v>
      </c>
      <c r="B189" s="2" t="s">
        <v>23</v>
      </c>
      <c r="C189" s="2" t="s">
        <v>32</v>
      </c>
      <c r="D189" s="2">
        <v>102.01</v>
      </c>
      <c r="E189" s="2">
        <v>0.01</v>
      </c>
      <c r="F189" s="2">
        <v>20.7</v>
      </c>
      <c r="G189" s="2">
        <v>0.15</v>
      </c>
      <c r="H189" s="2">
        <v>0.0</v>
      </c>
    </row>
    <row r="190" ht="14.25" customHeight="1">
      <c r="A190" s="2" t="s">
        <v>75</v>
      </c>
      <c r="B190" s="2" t="s">
        <v>23</v>
      </c>
      <c r="C190" s="2" t="s">
        <v>32</v>
      </c>
      <c r="D190" s="2">
        <v>123.05</v>
      </c>
      <c r="E190" s="2">
        <v>0.02</v>
      </c>
      <c r="F190" s="2">
        <v>24.97</v>
      </c>
      <c r="G190" s="2">
        <v>0.18</v>
      </c>
      <c r="H190" s="2">
        <v>0.0</v>
      </c>
    </row>
    <row r="191" ht="14.25" customHeight="1">
      <c r="A191" s="2" t="s">
        <v>75</v>
      </c>
      <c r="B191" s="2" t="s">
        <v>23</v>
      </c>
      <c r="C191" s="2" t="s">
        <v>26</v>
      </c>
      <c r="D191" s="2">
        <v>0.0</v>
      </c>
      <c r="E191" s="2">
        <v>0.0</v>
      </c>
      <c r="F191" s="2">
        <v>0.0</v>
      </c>
      <c r="G191" s="2">
        <v>0.0</v>
      </c>
      <c r="H191" s="2">
        <v>0.0</v>
      </c>
    </row>
    <row r="192" ht="14.25" customHeight="1">
      <c r="A192" s="2" t="s">
        <v>75</v>
      </c>
      <c r="B192" s="2" t="s">
        <v>23</v>
      </c>
      <c r="C192" s="2" t="s">
        <v>33</v>
      </c>
      <c r="D192" s="2">
        <v>0.0</v>
      </c>
      <c r="E192" s="2">
        <v>0.0</v>
      </c>
      <c r="F192" s="2">
        <v>0.0</v>
      </c>
      <c r="G192" s="2">
        <v>0.0</v>
      </c>
      <c r="H192" s="2">
        <v>0.0</v>
      </c>
    </row>
    <row r="193" ht="14.25" customHeight="1">
      <c r="A193" s="2" t="s">
        <v>75</v>
      </c>
      <c r="B193" s="2" t="s">
        <v>23</v>
      </c>
      <c r="C193" s="2" t="s">
        <v>33</v>
      </c>
      <c r="D193" s="2">
        <v>0.0</v>
      </c>
      <c r="E193" s="2">
        <v>0.0</v>
      </c>
      <c r="F193" s="2">
        <v>0.0</v>
      </c>
      <c r="G193" s="2">
        <v>0.0</v>
      </c>
      <c r="H193" s="2">
        <v>0.0</v>
      </c>
    </row>
    <row r="194" ht="14.25" customHeight="1">
      <c r="A194" s="2" t="s">
        <v>75</v>
      </c>
      <c r="B194" s="2" t="s">
        <v>23</v>
      </c>
      <c r="C194" s="2" t="s">
        <v>10</v>
      </c>
      <c r="D194" s="2">
        <v>334.68</v>
      </c>
      <c r="E194" s="2">
        <v>0.04</v>
      </c>
      <c r="F194" s="2">
        <v>67.91</v>
      </c>
      <c r="G194" s="2">
        <v>0.51</v>
      </c>
      <c r="H194" s="2">
        <v>0.0</v>
      </c>
    </row>
    <row r="195" ht="14.25" customHeight="1">
      <c r="A195" s="2" t="s">
        <v>75</v>
      </c>
      <c r="B195" s="2" t="s">
        <v>29</v>
      </c>
      <c r="C195" s="2" t="s">
        <v>34</v>
      </c>
      <c r="D195" s="2">
        <v>0.0</v>
      </c>
      <c r="E195" s="2">
        <v>0.0</v>
      </c>
      <c r="F195" s="2">
        <v>0.0</v>
      </c>
      <c r="G195" s="2">
        <v>0.0</v>
      </c>
      <c r="H195" s="2">
        <v>0.0</v>
      </c>
    </row>
    <row r="196" ht="14.25" customHeight="1">
      <c r="A196" s="2" t="s">
        <v>75</v>
      </c>
      <c r="B196" s="2" t="s">
        <v>29</v>
      </c>
      <c r="C196" s="2" t="s">
        <v>35</v>
      </c>
      <c r="D196" s="2">
        <v>0.0</v>
      </c>
      <c r="E196" s="2">
        <v>0.0</v>
      </c>
      <c r="F196" s="2">
        <v>0.0</v>
      </c>
      <c r="G196" s="2">
        <v>0.0</v>
      </c>
      <c r="H196" s="2">
        <v>0.0</v>
      </c>
    </row>
    <row r="197" ht="14.25" customHeight="1">
      <c r="A197" s="2" t="s">
        <v>75</v>
      </c>
      <c r="B197" s="2" t="s">
        <v>29</v>
      </c>
      <c r="C197" s="2" t="s">
        <v>35</v>
      </c>
      <c r="D197" s="2">
        <v>0.0</v>
      </c>
      <c r="E197" s="2">
        <v>0.0</v>
      </c>
      <c r="F197" s="2">
        <v>0.0</v>
      </c>
      <c r="G197" s="2">
        <v>0.0</v>
      </c>
      <c r="H197" s="2">
        <v>0.0</v>
      </c>
    </row>
    <row r="198" ht="14.25" customHeight="1">
      <c r="A198" s="2" t="s">
        <v>75</v>
      </c>
      <c r="B198" s="2" t="s">
        <v>29</v>
      </c>
      <c r="C198" s="2" t="s">
        <v>35</v>
      </c>
      <c r="D198" s="2">
        <v>0.0</v>
      </c>
      <c r="E198" s="2">
        <v>0.0</v>
      </c>
      <c r="F198" s="2">
        <v>0.0</v>
      </c>
      <c r="G198" s="2">
        <v>0.0</v>
      </c>
      <c r="H198" s="2">
        <v>0.0</v>
      </c>
    </row>
    <row r="199" ht="14.25" customHeight="1">
      <c r="A199" s="2" t="s">
        <v>75</v>
      </c>
      <c r="B199" s="2" t="s">
        <v>29</v>
      </c>
      <c r="C199" s="2" t="s">
        <v>36</v>
      </c>
      <c r="D199" s="2">
        <v>0.0</v>
      </c>
      <c r="E199" s="2">
        <v>0.0</v>
      </c>
      <c r="F199" s="2">
        <v>0.0</v>
      </c>
      <c r="G199" s="2">
        <v>0.0</v>
      </c>
      <c r="H199" s="2">
        <v>0.0</v>
      </c>
    </row>
    <row r="200" ht="14.25" customHeight="1">
      <c r="A200" s="2" t="s">
        <v>75</v>
      </c>
      <c r="B200" s="2" t="s">
        <v>29</v>
      </c>
      <c r="C200" s="2" t="s">
        <v>10</v>
      </c>
      <c r="D200" s="2">
        <v>0.0</v>
      </c>
      <c r="E200" s="2">
        <v>0.0</v>
      </c>
      <c r="F200" s="2">
        <v>0.0</v>
      </c>
      <c r="G200" s="2">
        <v>0.0</v>
      </c>
      <c r="H200" s="2">
        <v>0.0</v>
      </c>
    </row>
    <row r="201" ht="14.25" customHeight="1">
      <c r="A201" s="2" t="s">
        <v>75</v>
      </c>
      <c r="B201" s="2" t="s">
        <v>18</v>
      </c>
      <c r="C201" s="2" t="s">
        <v>10</v>
      </c>
      <c r="D201" s="2">
        <v>0.0</v>
      </c>
      <c r="E201" s="2">
        <v>0.0</v>
      </c>
      <c r="F201" s="2">
        <v>0.0</v>
      </c>
      <c r="G201" s="2">
        <v>0.0</v>
      </c>
      <c r="H201" s="2">
        <v>0.0</v>
      </c>
    </row>
    <row r="202" ht="14.25" customHeight="1">
      <c r="A202" s="2" t="s">
        <v>76</v>
      </c>
      <c r="B202" s="2" t="s">
        <v>38</v>
      </c>
      <c r="C202" s="2" t="s">
        <v>39</v>
      </c>
      <c r="D202" s="2">
        <v>8.45</v>
      </c>
      <c r="E202" s="2">
        <v>0.0</v>
      </c>
      <c r="F202" s="2">
        <v>3.94</v>
      </c>
      <c r="G202" s="2">
        <v>0.0</v>
      </c>
      <c r="H202" s="2">
        <v>0.01</v>
      </c>
    </row>
    <row r="203" ht="14.25" customHeight="1">
      <c r="A203" s="2" t="s">
        <v>76</v>
      </c>
      <c r="B203" s="2" t="s">
        <v>38</v>
      </c>
      <c r="C203" s="2" t="s">
        <v>39</v>
      </c>
      <c r="D203" s="2">
        <v>6.85</v>
      </c>
      <c r="E203" s="2">
        <v>0.0</v>
      </c>
      <c r="F203" s="2">
        <v>3.19</v>
      </c>
      <c r="G203" s="2">
        <v>0.0</v>
      </c>
      <c r="H203" s="2">
        <v>0.01</v>
      </c>
    </row>
    <row r="204" ht="14.25" customHeight="1">
      <c r="A204" s="2" t="s">
        <v>76</v>
      </c>
      <c r="B204" s="2" t="s">
        <v>38</v>
      </c>
      <c r="C204" s="2" t="s">
        <v>39</v>
      </c>
      <c r="D204" s="2">
        <v>0.0</v>
      </c>
      <c r="E204" s="2">
        <v>0.0</v>
      </c>
      <c r="F204" s="2">
        <v>0.0</v>
      </c>
      <c r="G204" s="2">
        <v>0.0</v>
      </c>
      <c r="H204" s="2">
        <v>0.0</v>
      </c>
    </row>
    <row r="205" ht="14.25" customHeight="1">
      <c r="A205" s="2" t="s">
        <v>76</v>
      </c>
      <c r="B205" s="2" t="s">
        <v>38</v>
      </c>
      <c r="C205" s="2" t="s">
        <v>16</v>
      </c>
      <c r="D205" s="2">
        <v>0.19</v>
      </c>
      <c r="E205" s="2">
        <v>0.0</v>
      </c>
      <c r="F205" s="2">
        <v>0.09</v>
      </c>
      <c r="G205" s="2">
        <v>0.0</v>
      </c>
      <c r="H205" s="2">
        <v>0.0</v>
      </c>
    </row>
    <row r="206" ht="14.25" customHeight="1">
      <c r="A206" s="2" t="s">
        <v>76</v>
      </c>
      <c r="B206" s="2" t="s">
        <v>38</v>
      </c>
      <c r="C206" s="2" t="s">
        <v>17</v>
      </c>
      <c r="D206" s="2">
        <v>0.0</v>
      </c>
      <c r="E206" s="2">
        <v>0.0</v>
      </c>
      <c r="F206" s="2">
        <v>0.0</v>
      </c>
      <c r="G206" s="2">
        <v>0.0</v>
      </c>
      <c r="H206" s="2">
        <v>0.0</v>
      </c>
    </row>
    <row r="207" ht="14.25" customHeight="1">
      <c r="A207" s="2" t="s">
        <v>76</v>
      </c>
      <c r="B207" s="2" t="s">
        <v>38</v>
      </c>
      <c r="C207" s="2" t="s">
        <v>10</v>
      </c>
      <c r="D207" s="2">
        <v>15.49</v>
      </c>
      <c r="E207" s="2">
        <v>0.0</v>
      </c>
      <c r="F207" s="2">
        <v>7.22</v>
      </c>
      <c r="G207" s="2">
        <v>0.0</v>
      </c>
      <c r="H207" s="2">
        <v>0.02</v>
      </c>
    </row>
    <row r="208" ht="14.25" customHeight="1">
      <c r="A208" s="2" t="s">
        <v>76</v>
      </c>
      <c r="B208" s="2" t="s">
        <v>18</v>
      </c>
      <c r="C208" s="2" t="s">
        <v>10</v>
      </c>
      <c r="D208" s="2">
        <v>0.0</v>
      </c>
      <c r="E208" s="2">
        <v>0.0</v>
      </c>
      <c r="F208" s="2">
        <v>0.0</v>
      </c>
      <c r="G208" s="2">
        <v>0.0</v>
      </c>
      <c r="H208" s="2">
        <v>0.0</v>
      </c>
    </row>
    <row r="209" ht="14.25" customHeight="1">
      <c r="A209" s="2" t="s">
        <v>77</v>
      </c>
      <c r="B209" s="2" t="s">
        <v>21</v>
      </c>
      <c r="C209" s="2" t="s">
        <v>10</v>
      </c>
      <c r="D209" s="2">
        <v>0.0</v>
      </c>
      <c r="E209" s="2">
        <v>0.0</v>
      </c>
      <c r="F209" s="2">
        <v>0.0</v>
      </c>
      <c r="G209" s="2">
        <v>0.0</v>
      </c>
      <c r="H209" s="2">
        <v>0.0</v>
      </c>
    </row>
    <row r="210" ht="14.25" customHeight="1">
      <c r="A210" s="2" t="s">
        <v>77</v>
      </c>
      <c r="B210" s="2" t="s">
        <v>22</v>
      </c>
      <c r="C210" s="2" t="s">
        <v>10</v>
      </c>
      <c r="D210" s="2">
        <v>0.0</v>
      </c>
      <c r="E210" s="2">
        <v>0.0</v>
      </c>
      <c r="F210" s="2">
        <v>0.0</v>
      </c>
      <c r="G210" s="2">
        <v>0.0</v>
      </c>
      <c r="H210" s="2">
        <v>0.0</v>
      </c>
    </row>
    <row r="211" ht="14.25" customHeight="1">
      <c r="A211" s="2" t="s">
        <v>77</v>
      </c>
      <c r="B211" s="2" t="s">
        <v>23</v>
      </c>
      <c r="C211" s="2" t="s">
        <v>24</v>
      </c>
      <c r="D211" s="2">
        <v>0.0</v>
      </c>
      <c r="E211" s="2">
        <v>0.0</v>
      </c>
      <c r="F211" s="2">
        <v>0.0</v>
      </c>
      <c r="G211" s="2">
        <v>0.0</v>
      </c>
      <c r="H211" s="2">
        <v>0.0</v>
      </c>
    </row>
    <row r="212" ht="14.25" customHeight="1">
      <c r="A212" s="2" t="s">
        <v>77</v>
      </c>
      <c r="B212" s="2" t="s">
        <v>23</v>
      </c>
      <c r="C212" s="2" t="s">
        <v>25</v>
      </c>
      <c r="D212" s="2">
        <v>0.0</v>
      </c>
      <c r="E212" s="2">
        <v>0.0</v>
      </c>
      <c r="F212" s="2">
        <v>0.0</v>
      </c>
      <c r="G212" s="2">
        <v>0.0</v>
      </c>
      <c r="H212" s="2">
        <v>0.0</v>
      </c>
    </row>
    <row r="213" ht="14.25" customHeight="1">
      <c r="A213" s="2" t="s">
        <v>77</v>
      </c>
      <c r="B213" s="2" t="s">
        <v>23</v>
      </c>
      <c r="C213" s="2" t="s">
        <v>26</v>
      </c>
      <c r="D213" s="2">
        <v>0.0</v>
      </c>
      <c r="E213" s="2">
        <v>0.0</v>
      </c>
      <c r="F213" s="2">
        <v>0.0</v>
      </c>
      <c r="G213" s="2">
        <v>0.0</v>
      </c>
      <c r="H213" s="2">
        <v>0.0</v>
      </c>
    </row>
    <row r="214" ht="14.25" customHeight="1">
      <c r="A214" s="2" t="s">
        <v>77</v>
      </c>
      <c r="B214" s="2" t="s">
        <v>23</v>
      </c>
      <c r="C214" s="2" t="s">
        <v>27</v>
      </c>
      <c r="D214" s="2">
        <v>0.0</v>
      </c>
      <c r="E214" s="2">
        <v>0.0</v>
      </c>
      <c r="F214" s="2">
        <v>0.0</v>
      </c>
      <c r="G214" s="2">
        <v>0.0</v>
      </c>
      <c r="H214" s="2">
        <v>0.0</v>
      </c>
    </row>
    <row r="215" ht="14.25" customHeight="1">
      <c r="A215" s="2" t="s">
        <v>77</v>
      </c>
      <c r="B215" s="2" t="s">
        <v>23</v>
      </c>
      <c r="C215" s="2" t="s">
        <v>28</v>
      </c>
      <c r="D215" s="2">
        <v>0.0</v>
      </c>
      <c r="E215" s="2">
        <v>0.0</v>
      </c>
      <c r="F215" s="2">
        <v>0.0</v>
      </c>
      <c r="G215" s="2">
        <v>0.0</v>
      </c>
      <c r="H215" s="2">
        <v>0.0</v>
      </c>
    </row>
    <row r="216" ht="14.25" customHeight="1">
      <c r="A216" s="2" t="s">
        <v>77</v>
      </c>
      <c r="B216" s="2" t="s">
        <v>23</v>
      </c>
      <c r="C216" s="2" t="s">
        <v>10</v>
      </c>
      <c r="D216" s="2">
        <v>0.0</v>
      </c>
      <c r="E216" s="2">
        <v>0.0</v>
      </c>
      <c r="F216" s="2">
        <v>0.0</v>
      </c>
      <c r="G216" s="2">
        <v>0.0</v>
      </c>
      <c r="H216" s="2">
        <v>0.0</v>
      </c>
    </row>
    <row r="217" ht="14.25" customHeight="1">
      <c r="A217" s="2" t="s">
        <v>77</v>
      </c>
      <c r="B217" s="2" t="s">
        <v>29</v>
      </c>
      <c r="C217" s="2" t="s">
        <v>10</v>
      </c>
      <c r="D217" s="2">
        <v>0.0</v>
      </c>
      <c r="E217" s="2">
        <v>0.0</v>
      </c>
      <c r="F217" s="2">
        <v>0.0</v>
      </c>
      <c r="G217" s="2">
        <v>0.0</v>
      </c>
      <c r="H217" s="2">
        <v>0.0</v>
      </c>
    </row>
    <row r="218" ht="14.25" customHeight="1">
      <c r="A218" s="2" t="s">
        <v>77</v>
      </c>
      <c r="B218" s="2" t="s">
        <v>18</v>
      </c>
      <c r="C218" s="2" t="s">
        <v>10</v>
      </c>
      <c r="D218" s="2">
        <v>0.0</v>
      </c>
      <c r="E218" s="2">
        <v>0.0</v>
      </c>
      <c r="F218" s="2">
        <v>0.0</v>
      </c>
      <c r="G218" s="2">
        <v>0.0</v>
      </c>
      <c r="H218" s="2">
        <v>0.0</v>
      </c>
    </row>
    <row r="219" ht="14.25" customHeight="1">
      <c r="A219" s="2" t="s">
        <v>78</v>
      </c>
      <c r="B219" s="2" t="s">
        <v>21</v>
      </c>
      <c r="C219" s="2" t="s">
        <v>42</v>
      </c>
      <c r="D219" s="2">
        <v>0.0</v>
      </c>
      <c r="E219" s="2">
        <v>0.0</v>
      </c>
      <c r="F219" s="2">
        <v>0.0</v>
      </c>
      <c r="G219" s="2">
        <v>0.0</v>
      </c>
      <c r="H219" s="2">
        <v>0.0</v>
      </c>
    </row>
    <row r="220" ht="14.25" customHeight="1">
      <c r="A220" s="2" t="s">
        <v>78</v>
      </c>
      <c r="B220" s="2" t="s">
        <v>21</v>
      </c>
      <c r="C220" s="2" t="s">
        <v>41</v>
      </c>
      <c r="D220" s="2">
        <v>0.0</v>
      </c>
      <c r="E220" s="2">
        <v>0.0</v>
      </c>
      <c r="F220" s="2">
        <v>0.0</v>
      </c>
      <c r="G220" s="2">
        <v>0.0</v>
      </c>
      <c r="H220" s="2">
        <v>0.0</v>
      </c>
    </row>
    <row r="221" ht="14.25" customHeight="1">
      <c r="A221" s="2" t="s">
        <v>78</v>
      </c>
      <c r="B221" s="2" t="s">
        <v>21</v>
      </c>
      <c r="C221" s="2" t="s">
        <v>43</v>
      </c>
      <c r="D221" s="2">
        <v>0.0</v>
      </c>
      <c r="E221" s="2">
        <v>0.0</v>
      </c>
      <c r="F221" s="2">
        <v>0.0</v>
      </c>
      <c r="G221" s="2">
        <v>0.0</v>
      </c>
      <c r="H221" s="2">
        <v>0.0</v>
      </c>
    </row>
    <row r="222" ht="14.25" customHeight="1">
      <c r="A222" s="2" t="s">
        <v>78</v>
      </c>
      <c r="B222" s="2" t="s">
        <v>21</v>
      </c>
      <c r="C222" s="2" t="s">
        <v>59</v>
      </c>
      <c r="D222" s="2">
        <v>0.0</v>
      </c>
      <c r="E222" s="2">
        <v>0.0</v>
      </c>
      <c r="F222" s="2">
        <v>0.0</v>
      </c>
      <c r="G222" s="2">
        <v>0.0</v>
      </c>
      <c r="H222" s="2">
        <v>0.0</v>
      </c>
    </row>
    <row r="223" ht="14.25" customHeight="1">
      <c r="A223" s="2" t="s">
        <v>78</v>
      </c>
      <c r="B223" s="2" t="s">
        <v>21</v>
      </c>
      <c r="C223" s="2" t="s">
        <v>10</v>
      </c>
      <c r="D223" s="2">
        <v>0.0</v>
      </c>
      <c r="E223" s="2">
        <v>0.0</v>
      </c>
      <c r="F223" s="2">
        <v>0.0</v>
      </c>
      <c r="G223" s="2">
        <v>0.0</v>
      </c>
      <c r="H223" s="2">
        <v>0.0</v>
      </c>
    </row>
    <row r="224" ht="14.25" customHeight="1">
      <c r="A224" s="2" t="s">
        <v>78</v>
      </c>
      <c r="B224" s="2" t="s">
        <v>22</v>
      </c>
      <c r="C224" s="2" t="s">
        <v>60</v>
      </c>
      <c r="D224" s="2">
        <v>0.0</v>
      </c>
      <c r="E224" s="2">
        <v>0.0</v>
      </c>
      <c r="F224" s="2">
        <v>0.0</v>
      </c>
      <c r="G224" s="2">
        <v>0.0</v>
      </c>
      <c r="H224" s="2">
        <v>0.0</v>
      </c>
    </row>
    <row r="225" ht="14.25" customHeight="1">
      <c r="A225" s="2" t="s">
        <v>78</v>
      </c>
      <c r="B225" s="2" t="s">
        <v>22</v>
      </c>
      <c r="C225" s="2" t="s">
        <v>61</v>
      </c>
      <c r="D225" s="2">
        <v>0.0</v>
      </c>
      <c r="E225" s="2">
        <v>0.0</v>
      </c>
      <c r="F225" s="2">
        <v>0.0</v>
      </c>
      <c r="G225" s="2">
        <v>0.0</v>
      </c>
      <c r="H225" s="2">
        <v>0.0</v>
      </c>
    </row>
    <row r="226" ht="14.25" customHeight="1">
      <c r="A226" s="2" t="s">
        <v>78</v>
      </c>
      <c r="B226" s="2" t="s">
        <v>22</v>
      </c>
      <c r="C226" s="2" t="s">
        <v>62</v>
      </c>
      <c r="D226" s="2">
        <v>0.0</v>
      </c>
      <c r="E226" s="2">
        <v>0.0</v>
      </c>
      <c r="F226" s="2">
        <v>0.0</v>
      </c>
      <c r="G226" s="2">
        <v>0.0</v>
      </c>
      <c r="H226" s="2">
        <v>0.0</v>
      </c>
    </row>
    <row r="227" ht="14.25" customHeight="1">
      <c r="A227" s="2" t="s">
        <v>78</v>
      </c>
      <c r="B227" s="2" t="s">
        <v>22</v>
      </c>
      <c r="C227" s="2" t="s">
        <v>10</v>
      </c>
      <c r="D227" s="2">
        <v>0.0</v>
      </c>
      <c r="E227" s="2">
        <v>0.0</v>
      </c>
      <c r="F227" s="2">
        <v>0.0</v>
      </c>
      <c r="G227" s="2">
        <v>0.0</v>
      </c>
      <c r="H227" s="2">
        <v>0.0</v>
      </c>
    </row>
    <row r="228" ht="14.25" customHeight="1">
      <c r="A228" s="2" t="s">
        <v>78</v>
      </c>
      <c r="B228" s="2" t="s">
        <v>70</v>
      </c>
      <c r="C228" s="2" t="s">
        <v>24</v>
      </c>
      <c r="D228" s="2">
        <v>0.0</v>
      </c>
      <c r="E228" s="2">
        <v>0.0</v>
      </c>
      <c r="F228" s="2">
        <v>0.0</v>
      </c>
      <c r="G228" s="2">
        <v>0.0</v>
      </c>
      <c r="H228" s="2">
        <v>0.0</v>
      </c>
    </row>
    <row r="229" ht="14.25" customHeight="1">
      <c r="A229" s="2" t="s">
        <v>78</v>
      </c>
      <c r="B229" s="2" t="s">
        <v>70</v>
      </c>
      <c r="C229" s="2" t="s">
        <v>24</v>
      </c>
      <c r="D229" s="2">
        <v>153.25</v>
      </c>
      <c r="E229" s="2">
        <v>0.02</v>
      </c>
      <c r="F229" s="2">
        <v>31.1</v>
      </c>
      <c r="G229" s="2">
        <v>0.23</v>
      </c>
      <c r="H229" s="2">
        <v>0.0</v>
      </c>
    </row>
    <row r="230" ht="14.25" customHeight="1">
      <c r="A230" s="2" t="s">
        <v>78</v>
      </c>
      <c r="B230" s="2" t="s">
        <v>70</v>
      </c>
      <c r="C230" s="2" t="s">
        <v>25</v>
      </c>
      <c r="D230" s="2">
        <v>58.88</v>
      </c>
      <c r="E230" s="2">
        <v>0.01</v>
      </c>
      <c r="F230" s="2">
        <v>11.95</v>
      </c>
      <c r="G230" s="2">
        <v>0.09</v>
      </c>
      <c r="H230" s="2">
        <v>0.0</v>
      </c>
    </row>
    <row r="231" ht="14.25" customHeight="1">
      <c r="A231" s="2" t="s">
        <v>78</v>
      </c>
      <c r="B231" s="2" t="s">
        <v>70</v>
      </c>
      <c r="C231" s="2" t="s">
        <v>25</v>
      </c>
      <c r="D231" s="2">
        <v>0.0</v>
      </c>
      <c r="E231" s="2">
        <v>0.0</v>
      </c>
      <c r="F231" s="2">
        <v>0.0</v>
      </c>
      <c r="G231" s="2">
        <v>0.0</v>
      </c>
      <c r="H231" s="2">
        <v>0.0</v>
      </c>
    </row>
    <row r="232" ht="14.25" customHeight="1">
      <c r="A232" s="2" t="s">
        <v>78</v>
      </c>
      <c r="B232" s="2" t="s">
        <v>70</v>
      </c>
      <c r="C232" s="2" t="s">
        <v>25</v>
      </c>
      <c r="D232" s="2">
        <v>0.0</v>
      </c>
      <c r="E232" s="2">
        <v>0.0</v>
      </c>
      <c r="F232" s="2">
        <v>0.0</v>
      </c>
      <c r="G232" s="2">
        <v>0.0</v>
      </c>
      <c r="H232" s="2">
        <v>0.0</v>
      </c>
    </row>
    <row r="233" ht="14.25" customHeight="1">
      <c r="A233" s="2" t="s">
        <v>78</v>
      </c>
      <c r="B233" s="2" t="s">
        <v>70</v>
      </c>
      <c r="C233" s="2" t="s">
        <v>25</v>
      </c>
      <c r="D233" s="2">
        <v>0.0</v>
      </c>
      <c r="E233" s="2">
        <v>0.0</v>
      </c>
      <c r="F233" s="2">
        <v>0.0</v>
      </c>
      <c r="G233" s="2">
        <v>0.0</v>
      </c>
      <c r="H233" s="2">
        <v>0.0</v>
      </c>
    </row>
    <row r="234" ht="14.25" customHeight="1">
      <c r="A234" s="2" t="s">
        <v>78</v>
      </c>
      <c r="B234" s="2" t="s">
        <v>70</v>
      </c>
      <c r="C234" s="2" t="s">
        <v>25</v>
      </c>
      <c r="D234" s="2">
        <v>26.04</v>
      </c>
      <c r="E234" s="2">
        <v>0.0</v>
      </c>
      <c r="F234" s="2">
        <v>5.28</v>
      </c>
      <c r="G234" s="2">
        <v>0.04</v>
      </c>
      <c r="H234" s="2">
        <v>0.0</v>
      </c>
    </row>
    <row r="235" ht="14.25" customHeight="1">
      <c r="A235" s="2" t="s">
        <v>78</v>
      </c>
      <c r="B235" s="2" t="s">
        <v>70</v>
      </c>
      <c r="C235" s="2" t="s">
        <v>31</v>
      </c>
      <c r="D235" s="2">
        <v>48.7</v>
      </c>
      <c r="E235" s="2">
        <v>0.01</v>
      </c>
      <c r="F235" s="2">
        <v>9.88</v>
      </c>
      <c r="G235" s="2">
        <v>0.07</v>
      </c>
      <c r="H235" s="2">
        <v>0.0</v>
      </c>
    </row>
    <row r="236" ht="14.25" customHeight="1">
      <c r="A236" s="2" t="s">
        <v>78</v>
      </c>
      <c r="B236" s="2" t="s">
        <v>70</v>
      </c>
      <c r="C236" s="2" t="s">
        <v>31</v>
      </c>
      <c r="D236" s="2">
        <v>72.76</v>
      </c>
      <c r="E236" s="2">
        <v>0.01</v>
      </c>
      <c r="F236" s="2">
        <v>14.76</v>
      </c>
      <c r="G236" s="2">
        <v>0.11</v>
      </c>
      <c r="H236" s="2">
        <v>0.0</v>
      </c>
    </row>
    <row r="237" ht="14.25" customHeight="1">
      <c r="A237" s="2" t="s">
        <v>78</v>
      </c>
      <c r="B237" s="2" t="s">
        <v>70</v>
      </c>
      <c r="C237" s="2" t="s">
        <v>32</v>
      </c>
      <c r="D237" s="2">
        <v>499.62</v>
      </c>
      <c r="E237" s="2">
        <v>0.07</v>
      </c>
      <c r="F237" s="2">
        <v>101.38</v>
      </c>
      <c r="G237" s="2">
        <v>0.74</v>
      </c>
      <c r="H237" s="2">
        <v>0.0</v>
      </c>
    </row>
    <row r="238" ht="14.25" customHeight="1">
      <c r="A238" s="2" t="s">
        <v>78</v>
      </c>
      <c r="B238" s="2" t="s">
        <v>70</v>
      </c>
      <c r="C238" s="2" t="s">
        <v>32</v>
      </c>
      <c r="D238" s="2">
        <v>243.68</v>
      </c>
      <c r="E238" s="2">
        <v>0.03</v>
      </c>
      <c r="F238" s="2">
        <v>49.45</v>
      </c>
      <c r="G238" s="2">
        <v>0.36</v>
      </c>
      <c r="H238" s="2">
        <v>0.0</v>
      </c>
    </row>
    <row r="239" ht="14.25" customHeight="1">
      <c r="A239" s="2" t="s">
        <v>78</v>
      </c>
      <c r="B239" s="2" t="s">
        <v>70</v>
      </c>
      <c r="C239" s="2" t="s">
        <v>26</v>
      </c>
      <c r="D239" s="2">
        <v>0.0</v>
      </c>
      <c r="E239" s="2">
        <v>0.0</v>
      </c>
      <c r="F239" s="2">
        <v>0.0</v>
      </c>
      <c r="G239" s="2">
        <v>0.0</v>
      </c>
      <c r="H239" s="2">
        <v>0.0</v>
      </c>
    </row>
    <row r="240" ht="14.25" customHeight="1">
      <c r="A240" s="2" t="s">
        <v>78</v>
      </c>
      <c r="B240" s="2" t="s">
        <v>70</v>
      </c>
      <c r="C240" s="2" t="s">
        <v>33</v>
      </c>
      <c r="D240" s="2">
        <v>0.0</v>
      </c>
      <c r="E240" s="2">
        <v>0.0</v>
      </c>
      <c r="F240" s="2">
        <v>0.0</v>
      </c>
      <c r="G240" s="2">
        <v>0.0</v>
      </c>
      <c r="H240" s="2">
        <v>0.0</v>
      </c>
    </row>
    <row r="241" ht="14.25" customHeight="1">
      <c r="A241" s="2" t="s">
        <v>78</v>
      </c>
      <c r="B241" s="2" t="s">
        <v>70</v>
      </c>
      <c r="C241" s="2" t="s">
        <v>33</v>
      </c>
      <c r="D241" s="2">
        <v>0.0</v>
      </c>
      <c r="E241" s="2">
        <v>0.0</v>
      </c>
      <c r="F241" s="2">
        <v>0.0</v>
      </c>
      <c r="G241" s="2">
        <v>0.0</v>
      </c>
      <c r="H241" s="2">
        <v>0.0</v>
      </c>
    </row>
    <row r="242" ht="14.25" customHeight="1">
      <c r="A242" s="2" t="s">
        <v>78</v>
      </c>
      <c r="B242" s="2" t="s">
        <v>70</v>
      </c>
      <c r="C242" s="2" t="s">
        <v>33</v>
      </c>
      <c r="D242" s="2">
        <v>0.0</v>
      </c>
      <c r="E242" s="2">
        <v>0.0</v>
      </c>
      <c r="F242" s="2">
        <v>0.0</v>
      </c>
      <c r="G242" s="2">
        <v>0.0</v>
      </c>
      <c r="H242" s="2">
        <v>0.0</v>
      </c>
    </row>
    <row r="243" ht="14.25" customHeight="1">
      <c r="A243" s="2" t="s">
        <v>78</v>
      </c>
      <c r="B243" s="2" t="s">
        <v>70</v>
      </c>
      <c r="C243" s="2" t="s">
        <v>33</v>
      </c>
      <c r="D243" s="2">
        <v>0.0</v>
      </c>
      <c r="E243" s="2">
        <v>0.0</v>
      </c>
      <c r="F243" s="2">
        <v>0.0</v>
      </c>
      <c r="G243" s="2">
        <v>0.0</v>
      </c>
      <c r="H243" s="2">
        <v>0.0</v>
      </c>
    </row>
    <row r="244" ht="14.25" customHeight="1">
      <c r="A244" s="2" t="s">
        <v>78</v>
      </c>
      <c r="B244" s="2" t="s">
        <v>70</v>
      </c>
      <c r="C244" s="2" t="s">
        <v>10</v>
      </c>
      <c r="D244" s="2">
        <v>1102.93</v>
      </c>
      <c r="E244" s="2">
        <v>0.15</v>
      </c>
      <c r="F244" s="2">
        <v>223.8</v>
      </c>
      <c r="G244" s="2">
        <v>1.64</v>
      </c>
      <c r="H244" s="2">
        <v>0.0</v>
      </c>
    </row>
    <row r="245" ht="14.25" customHeight="1">
      <c r="A245" s="2" t="s">
        <v>78</v>
      </c>
      <c r="B245" s="2" t="s">
        <v>71</v>
      </c>
      <c r="C245" s="2" t="s">
        <v>10</v>
      </c>
      <c r="D245" s="2">
        <v>0.0</v>
      </c>
      <c r="E245" s="2">
        <v>0.0</v>
      </c>
      <c r="F245" s="2">
        <v>0.0</v>
      </c>
      <c r="G245" s="2">
        <v>0.0</v>
      </c>
      <c r="H245" s="2">
        <v>0.0</v>
      </c>
    </row>
    <row r="246" ht="14.25" customHeight="1">
      <c r="A246" s="2" t="s">
        <v>78</v>
      </c>
      <c r="B246" s="2" t="s">
        <v>18</v>
      </c>
      <c r="C246" s="2" t="s">
        <v>10</v>
      </c>
      <c r="D246" s="2">
        <v>0.0</v>
      </c>
      <c r="E246" s="2">
        <v>0.0</v>
      </c>
      <c r="F246" s="2">
        <v>0.0</v>
      </c>
      <c r="G246" s="2">
        <v>0.0</v>
      </c>
      <c r="H246" s="2">
        <v>0.0</v>
      </c>
    </row>
    <row r="247" ht="14.25" customHeight="1">
      <c r="A247" s="2" t="s">
        <v>79</v>
      </c>
      <c r="B247" s="2" t="s">
        <v>80</v>
      </c>
      <c r="C247" s="2" t="s">
        <v>81</v>
      </c>
      <c r="D247" s="2">
        <v>0.0</v>
      </c>
      <c r="E247" s="2">
        <v>0.0</v>
      </c>
      <c r="F247" s="2">
        <v>0.0</v>
      </c>
      <c r="G247" s="2">
        <v>0.0</v>
      </c>
      <c r="H247" s="2">
        <v>0.0</v>
      </c>
    </row>
    <row r="248" ht="14.25" customHeight="1">
      <c r="A248" s="2" t="s">
        <v>79</v>
      </c>
      <c r="B248" s="2" t="s">
        <v>80</v>
      </c>
      <c r="C248" s="2" t="s">
        <v>81</v>
      </c>
      <c r="D248" s="2">
        <v>0.05</v>
      </c>
      <c r="E248" s="2">
        <v>0.0</v>
      </c>
      <c r="F248" s="2">
        <v>0.02</v>
      </c>
      <c r="G248" s="2">
        <v>0.0</v>
      </c>
      <c r="H248" s="2">
        <v>0.0</v>
      </c>
    </row>
    <row r="249" ht="14.25" customHeight="1">
      <c r="A249" s="2" t="s">
        <v>79</v>
      </c>
      <c r="B249" s="2" t="s">
        <v>80</v>
      </c>
      <c r="C249" s="2" t="s">
        <v>81</v>
      </c>
      <c r="D249" s="2">
        <v>0.0</v>
      </c>
      <c r="E249" s="2">
        <v>0.0</v>
      </c>
      <c r="F249" s="2">
        <v>0.0</v>
      </c>
      <c r="G249" s="2">
        <v>0.0</v>
      </c>
      <c r="H249" s="2">
        <v>0.0</v>
      </c>
    </row>
    <row r="250" ht="14.25" customHeight="1">
      <c r="A250" s="2" t="s">
        <v>79</v>
      </c>
      <c r="B250" s="2" t="s">
        <v>80</v>
      </c>
      <c r="C250" s="2" t="s">
        <v>81</v>
      </c>
      <c r="D250" s="2">
        <v>0.0</v>
      </c>
      <c r="E250" s="2">
        <v>0.0</v>
      </c>
      <c r="F250" s="2">
        <v>0.0</v>
      </c>
      <c r="G250" s="2">
        <v>0.0</v>
      </c>
      <c r="H250" s="2">
        <v>0.0</v>
      </c>
    </row>
    <row r="251" ht="14.25" customHeight="1">
      <c r="A251" s="2" t="s">
        <v>79</v>
      </c>
      <c r="B251" s="2" t="s">
        <v>80</v>
      </c>
      <c r="C251" s="2" t="s">
        <v>81</v>
      </c>
      <c r="D251" s="2">
        <v>1.34</v>
      </c>
      <c r="E251" s="2">
        <v>0.0</v>
      </c>
      <c r="F251" s="2">
        <v>0.63</v>
      </c>
      <c r="G251" s="2">
        <v>0.0</v>
      </c>
      <c r="H251" s="2">
        <v>0.0</v>
      </c>
    </row>
    <row r="252" ht="14.25" customHeight="1">
      <c r="A252" s="2" t="s">
        <v>79</v>
      </c>
      <c r="B252" s="2" t="s">
        <v>80</v>
      </c>
      <c r="C252" s="2" t="s">
        <v>81</v>
      </c>
      <c r="D252" s="2">
        <v>0.0</v>
      </c>
      <c r="E252" s="2">
        <v>0.0</v>
      </c>
      <c r="F252" s="2">
        <v>0.0</v>
      </c>
      <c r="G252" s="2">
        <v>0.0</v>
      </c>
      <c r="H252" s="2">
        <v>0.0</v>
      </c>
    </row>
    <row r="253" ht="14.25" customHeight="1">
      <c r="A253" s="2" t="s">
        <v>79</v>
      </c>
      <c r="B253" s="2" t="s">
        <v>80</v>
      </c>
      <c r="C253" s="2" t="s">
        <v>16</v>
      </c>
      <c r="D253" s="2">
        <v>7.14</v>
      </c>
      <c r="E253" s="2">
        <v>0.0</v>
      </c>
      <c r="F253" s="2">
        <v>3.33</v>
      </c>
      <c r="G253" s="2">
        <v>0.0</v>
      </c>
      <c r="H253" s="2">
        <v>0.01</v>
      </c>
    </row>
    <row r="254" ht="14.25" customHeight="1">
      <c r="A254" s="2" t="s">
        <v>79</v>
      </c>
      <c r="B254" s="2" t="s">
        <v>80</v>
      </c>
      <c r="C254" s="2" t="s">
        <v>17</v>
      </c>
      <c r="D254" s="2">
        <v>0.0</v>
      </c>
      <c r="E254" s="2">
        <v>0.0</v>
      </c>
      <c r="F254" s="2">
        <v>0.0</v>
      </c>
      <c r="G254" s="2">
        <v>0.0</v>
      </c>
      <c r="H254" s="2">
        <v>0.0</v>
      </c>
    </row>
    <row r="255" ht="14.25" customHeight="1">
      <c r="A255" s="2" t="s">
        <v>79</v>
      </c>
      <c r="B255" s="2" t="s">
        <v>80</v>
      </c>
      <c r="C255" s="2" t="s">
        <v>10</v>
      </c>
      <c r="D255" s="2">
        <v>8.53</v>
      </c>
      <c r="E255" s="2">
        <v>0.0</v>
      </c>
      <c r="F255" s="2">
        <v>3.98</v>
      </c>
      <c r="G255" s="2">
        <v>0.0</v>
      </c>
      <c r="H255" s="2">
        <v>0.01</v>
      </c>
    </row>
    <row r="256" ht="14.25" customHeight="1">
      <c r="A256" s="2" t="s">
        <v>79</v>
      </c>
      <c r="B256" s="2" t="s">
        <v>18</v>
      </c>
      <c r="C256" s="2" t="s">
        <v>82</v>
      </c>
      <c r="D256" s="2">
        <v>0.0</v>
      </c>
      <c r="E256" s="2">
        <v>0.0</v>
      </c>
      <c r="F256" s="2">
        <v>0.0</v>
      </c>
      <c r="G256" s="2">
        <v>0.0</v>
      </c>
      <c r="H256" s="2">
        <v>0.0</v>
      </c>
    </row>
    <row r="257" ht="14.25" customHeight="1">
      <c r="A257" s="2" t="s">
        <v>79</v>
      </c>
      <c r="B257" s="2" t="s">
        <v>18</v>
      </c>
      <c r="C257" s="2" t="s">
        <v>10</v>
      </c>
      <c r="D257" s="2">
        <v>0.0</v>
      </c>
      <c r="E257" s="2">
        <v>0.0</v>
      </c>
      <c r="F257" s="2">
        <v>0.0</v>
      </c>
      <c r="G257" s="2">
        <v>0.0</v>
      </c>
      <c r="H257" s="2">
        <v>0.0</v>
      </c>
    </row>
    <row r="258" ht="14.25" customHeight="1">
      <c r="A258" s="2" t="s">
        <v>83</v>
      </c>
      <c r="B258" s="2" t="s">
        <v>84</v>
      </c>
      <c r="C258" s="2" t="s">
        <v>85</v>
      </c>
      <c r="D258" s="2">
        <v>2.92</v>
      </c>
      <c r="E258" s="2">
        <v>0.0</v>
      </c>
      <c r="F258" s="2">
        <v>1.36</v>
      </c>
      <c r="G258" s="2">
        <v>0.0</v>
      </c>
      <c r="H258" s="2">
        <v>0.0</v>
      </c>
    </row>
    <row r="259" ht="14.25" customHeight="1">
      <c r="A259" s="2" t="s">
        <v>83</v>
      </c>
      <c r="B259" s="2" t="s">
        <v>84</v>
      </c>
      <c r="C259" s="2" t="s">
        <v>85</v>
      </c>
      <c r="D259" s="2">
        <v>2.92</v>
      </c>
      <c r="E259" s="2">
        <v>0.0</v>
      </c>
      <c r="F259" s="2">
        <v>1.36</v>
      </c>
      <c r="G259" s="2">
        <v>0.0</v>
      </c>
      <c r="H259" s="2">
        <v>0.0</v>
      </c>
    </row>
    <row r="260" ht="14.25" customHeight="1">
      <c r="A260" s="2" t="s">
        <v>83</v>
      </c>
      <c r="B260" s="2" t="s">
        <v>84</v>
      </c>
      <c r="C260" s="2" t="s">
        <v>85</v>
      </c>
      <c r="D260" s="2">
        <v>19.77</v>
      </c>
      <c r="E260" s="2">
        <v>0.0</v>
      </c>
      <c r="F260" s="2">
        <v>9.2</v>
      </c>
      <c r="G260" s="2">
        <v>0.01</v>
      </c>
      <c r="H260" s="2">
        <v>0.02</v>
      </c>
    </row>
    <row r="261" ht="14.25" customHeight="1">
      <c r="A261" s="2" t="s">
        <v>83</v>
      </c>
      <c r="B261" s="2" t="s">
        <v>84</v>
      </c>
      <c r="C261" s="2" t="s">
        <v>85</v>
      </c>
      <c r="D261" s="2">
        <v>1.18</v>
      </c>
      <c r="E261" s="2">
        <v>0.0</v>
      </c>
      <c r="F261" s="2">
        <v>0.55</v>
      </c>
      <c r="G261" s="2">
        <v>0.0</v>
      </c>
      <c r="H261" s="2">
        <v>0.0</v>
      </c>
    </row>
    <row r="262" ht="14.25" customHeight="1">
      <c r="A262" s="2" t="s">
        <v>83</v>
      </c>
      <c r="B262" s="2" t="s">
        <v>84</v>
      </c>
      <c r="C262" s="2" t="s">
        <v>16</v>
      </c>
      <c r="D262" s="2">
        <v>5.15</v>
      </c>
      <c r="E262" s="2">
        <v>0.0</v>
      </c>
      <c r="F262" s="2">
        <v>4.02</v>
      </c>
      <c r="G262" s="2">
        <v>0.01</v>
      </c>
      <c r="H262" s="2">
        <v>0.0</v>
      </c>
    </row>
    <row r="263" ht="14.25" customHeight="1">
      <c r="A263" s="2" t="s">
        <v>83</v>
      </c>
      <c r="B263" s="2" t="s">
        <v>84</v>
      </c>
      <c r="C263" s="2" t="s">
        <v>17</v>
      </c>
      <c r="D263" s="2">
        <v>0.0</v>
      </c>
      <c r="E263" s="2">
        <v>0.0</v>
      </c>
      <c r="F263" s="2">
        <v>0.0</v>
      </c>
      <c r="G263" s="2">
        <v>0.0</v>
      </c>
      <c r="H263" s="2">
        <v>0.0</v>
      </c>
    </row>
    <row r="264" ht="14.25" customHeight="1">
      <c r="A264" s="2" t="s">
        <v>83</v>
      </c>
      <c r="B264" s="2" t="s">
        <v>84</v>
      </c>
      <c r="C264" s="2" t="s">
        <v>10</v>
      </c>
      <c r="D264" s="2">
        <v>31.94</v>
      </c>
      <c r="E264" s="2">
        <v>0.0</v>
      </c>
      <c r="F264" s="2">
        <v>16.49</v>
      </c>
      <c r="G264" s="2">
        <v>0.02</v>
      </c>
      <c r="H264" s="2">
        <v>0.02</v>
      </c>
    </row>
    <row r="265" ht="14.25" customHeight="1">
      <c r="A265" s="2" t="s">
        <v>83</v>
      </c>
      <c r="B265" s="2" t="s">
        <v>18</v>
      </c>
      <c r="C265" s="2" t="s">
        <v>10</v>
      </c>
      <c r="D265" s="2">
        <v>0.0</v>
      </c>
      <c r="E265" s="2">
        <v>0.0</v>
      </c>
      <c r="F265" s="2">
        <v>0.0</v>
      </c>
      <c r="G265" s="2">
        <v>0.0</v>
      </c>
      <c r="H265" s="2">
        <v>0.0</v>
      </c>
    </row>
    <row r="266" ht="14.25" customHeight="1">
      <c r="A266" s="2" t="s">
        <v>86</v>
      </c>
      <c r="B266" s="2" t="s">
        <v>87</v>
      </c>
      <c r="C266" s="2" t="s">
        <v>88</v>
      </c>
      <c r="D266" s="2">
        <v>0.0</v>
      </c>
      <c r="E266" s="2">
        <v>0.0</v>
      </c>
      <c r="F266" s="2">
        <v>0.0</v>
      </c>
      <c r="G266" s="2">
        <v>0.0</v>
      </c>
      <c r="H266" s="2">
        <v>0.0</v>
      </c>
    </row>
    <row r="267" ht="14.25" customHeight="1">
      <c r="A267" s="2" t="s">
        <v>86</v>
      </c>
      <c r="B267" s="2" t="s">
        <v>87</v>
      </c>
      <c r="C267" s="2" t="s">
        <v>88</v>
      </c>
      <c r="D267" s="2">
        <v>0.0</v>
      </c>
      <c r="E267" s="2">
        <v>0.0</v>
      </c>
      <c r="F267" s="2">
        <v>0.0</v>
      </c>
      <c r="G267" s="2">
        <v>0.0</v>
      </c>
      <c r="H267" s="2">
        <v>0.0</v>
      </c>
    </row>
    <row r="268" ht="14.25" customHeight="1">
      <c r="A268" s="2" t="s">
        <v>86</v>
      </c>
      <c r="B268" s="2" t="s">
        <v>87</v>
      </c>
      <c r="C268" s="2" t="s">
        <v>88</v>
      </c>
      <c r="D268" s="2">
        <v>0.0</v>
      </c>
      <c r="E268" s="2">
        <v>0.0</v>
      </c>
      <c r="F268" s="2">
        <v>0.0</v>
      </c>
      <c r="G268" s="2">
        <v>0.0</v>
      </c>
      <c r="H268" s="2">
        <v>0.0</v>
      </c>
    </row>
    <row r="269" ht="14.25" customHeight="1">
      <c r="A269" s="2" t="s">
        <v>86</v>
      </c>
      <c r="B269" s="2" t="s">
        <v>87</v>
      </c>
      <c r="C269" s="2" t="s">
        <v>88</v>
      </c>
      <c r="D269" s="2">
        <v>0.0</v>
      </c>
      <c r="E269" s="2">
        <v>0.0</v>
      </c>
      <c r="F269" s="2">
        <v>0.0</v>
      </c>
      <c r="G269" s="2">
        <v>0.0</v>
      </c>
      <c r="H269" s="2">
        <v>0.0</v>
      </c>
    </row>
    <row r="270" ht="14.25" customHeight="1">
      <c r="A270" s="2" t="s">
        <v>86</v>
      </c>
      <c r="B270" s="2" t="s">
        <v>87</v>
      </c>
      <c r="C270" s="2" t="s">
        <v>46</v>
      </c>
      <c r="D270" s="2">
        <v>0.0</v>
      </c>
      <c r="E270" s="2">
        <v>0.0</v>
      </c>
      <c r="F270" s="2">
        <v>0.0</v>
      </c>
      <c r="G270" s="2">
        <v>0.0</v>
      </c>
      <c r="H270" s="2">
        <v>0.0</v>
      </c>
    </row>
    <row r="271" ht="14.25" customHeight="1">
      <c r="A271" s="2" t="s">
        <v>86</v>
      </c>
      <c r="B271" s="2" t="s">
        <v>87</v>
      </c>
      <c r="C271" s="2" t="s">
        <v>27</v>
      </c>
      <c r="D271" s="2">
        <v>0.0</v>
      </c>
      <c r="E271" s="2">
        <v>0.0</v>
      </c>
      <c r="F271" s="2">
        <v>0.0</v>
      </c>
      <c r="G271" s="2">
        <v>0.0</v>
      </c>
      <c r="H271" s="2">
        <v>0.0</v>
      </c>
    </row>
    <row r="272" ht="14.25" customHeight="1">
      <c r="A272" s="2" t="s">
        <v>86</v>
      </c>
      <c r="B272" s="2" t="s">
        <v>87</v>
      </c>
      <c r="C272" s="2" t="s">
        <v>28</v>
      </c>
      <c r="D272" s="2">
        <v>0.0</v>
      </c>
      <c r="E272" s="2">
        <v>0.0</v>
      </c>
      <c r="F272" s="2">
        <v>0.0</v>
      </c>
      <c r="G272" s="2">
        <v>0.0</v>
      </c>
      <c r="H272" s="2">
        <v>0.0</v>
      </c>
    </row>
    <row r="273" ht="14.25" customHeight="1">
      <c r="A273" s="2" t="s">
        <v>86</v>
      </c>
      <c r="B273" s="2" t="s">
        <v>87</v>
      </c>
      <c r="C273" s="2" t="s">
        <v>10</v>
      </c>
      <c r="D273" s="2">
        <v>0.0</v>
      </c>
      <c r="E273" s="2">
        <v>0.0</v>
      </c>
      <c r="F273" s="2">
        <v>0.0</v>
      </c>
      <c r="G273" s="2">
        <v>0.0</v>
      </c>
      <c r="H273" s="2">
        <v>0.0</v>
      </c>
    </row>
    <row r="274" ht="14.25" customHeight="1">
      <c r="A274" s="2" t="s">
        <v>86</v>
      </c>
      <c r="B274" s="2" t="s">
        <v>89</v>
      </c>
      <c r="C274" s="2" t="s">
        <v>10</v>
      </c>
      <c r="D274" s="2">
        <v>0.0</v>
      </c>
      <c r="E274" s="2">
        <v>0.0</v>
      </c>
      <c r="F274" s="2">
        <v>0.0</v>
      </c>
      <c r="G274" s="2">
        <v>0.0</v>
      </c>
      <c r="H274" s="2">
        <v>0.0</v>
      </c>
    </row>
    <row r="275" ht="14.25" customHeight="1">
      <c r="A275" s="2" t="s">
        <v>86</v>
      </c>
      <c r="B275" s="2" t="s">
        <v>18</v>
      </c>
      <c r="C275" s="2" t="s">
        <v>10</v>
      </c>
      <c r="D275" s="2">
        <v>0.0</v>
      </c>
      <c r="E275" s="2">
        <v>0.0</v>
      </c>
      <c r="F275" s="2">
        <v>0.0</v>
      </c>
      <c r="G275" s="2">
        <v>0.0</v>
      </c>
      <c r="H275" s="2">
        <v>0.0</v>
      </c>
    </row>
    <row r="276" ht="14.25" customHeight="1">
      <c r="A276" s="2" t="s">
        <v>90</v>
      </c>
      <c r="B276" s="2" t="s">
        <v>87</v>
      </c>
      <c r="C276" s="2" t="s">
        <v>88</v>
      </c>
      <c r="D276" s="2">
        <v>0.0</v>
      </c>
      <c r="E276" s="2">
        <v>0.0</v>
      </c>
      <c r="F276" s="2">
        <v>0.0</v>
      </c>
      <c r="G276" s="2">
        <v>0.0</v>
      </c>
      <c r="H276" s="2">
        <v>0.0</v>
      </c>
    </row>
    <row r="277" ht="14.25" customHeight="1">
      <c r="A277" s="2" t="s">
        <v>90</v>
      </c>
      <c r="B277" s="2" t="s">
        <v>87</v>
      </c>
      <c r="C277" s="2" t="s">
        <v>88</v>
      </c>
      <c r="D277" s="2">
        <v>0.0</v>
      </c>
      <c r="E277" s="2">
        <v>0.0</v>
      </c>
      <c r="F277" s="2">
        <v>0.0</v>
      </c>
      <c r="G277" s="2">
        <v>0.0</v>
      </c>
      <c r="H277" s="2">
        <v>0.0</v>
      </c>
    </row>
    <row r="278" ht="14.25" customHeight="1">
      <c r="A278" s="2" t="s">
        <v>90</v>
      </c>
      <c r="B278" s="2" t="s">
        <v>87</v>
      </c>
      <c r="C278" s="2" t="s">
        <v>46</v>
      </c>
      <c r="D278" s="2">
        <v>0.0</v>
      </c>
      <c r="E278" s="2">
        <v>0.0</v>
      </c>
      <c r="F278" s="2">
        <v>0.0</v>
      </c>
      <c r="G278" s="2">
        <v>0.0</v>
      </c>
      <c r="H278" s="2">
        <v>0.0</v>
      </c>
    </row>
    <row r="279" ht="14.25" customHeight="1">
      <c r="A279" s="2" t="s">
        <v>90</v>
      </c>
      <c r="B279" s="2" t="s">
        <v>87</v>
      </c>
      <c r="C279" s="2" t="s">
        <v>46</v>
      </c>
      <c r="D279" s="2">
        <v>0.0</v>
      </c>
      <c r="E279" s="2">
        <v>0.0</v>
      </c>
      <c r="F279" s="2">
        <v>0.0</v>
      </c>
      <c r="G279" s="2">
        <v>0.0</v>
      </c>
      <c r="H279" s="2">
        <v>0.0</v>
      </c>
    </row>
    <row r="280" ht="14.25" customHeight="1">
      <c r="A280" s="2" t="s">
        <v>90</v>
      </c>
      <c r="B280" s="2" t="s">
        <v>87</v>
      </c>
      <c r="C280" s="2" t="s">
        <v>27</v>
      </c>
      <c r="D280" s="2">
        <v>0.0</v>
      </c>
      <c r="E280" s="2">
        <v>0.0</v>
      </c>
      <c r="F280" s="2">
        <v>0.0</v>
      </c>
      <c r="G280" s="2">
        <v>0.0</v>
      </c>
      <c r="H280" s="2">
        <v>0.0</v>
      </c>
    </row>
    <row r="281" ht="14.25" customHeight="1">
      <c r="A281" s="2" t="s">
        <v>90</v>
      </c>
      <c r="B281" s="2" t="s">
        <v>87</v>
      </c>
      <c r="C281" s="2" t="s">
        <v>28</v>
      </c>
      <c r="D281" s="2">
        <v>0.0</v>
      </c>
      <c r="E281" s="2">
        <v>0.0</v>
      </c>
      <c r="F281" s="2">
        <v>0.0</v>
      </c>
      <c r="G281" s="2">
        <v>0.0</v>
      </c>
      <c r="H281" s="2">
        <v>0.0</v>
      </c>
    </row>
    <row r="282" ht="14.25" customHeight="1">
      <c r="A282" s="2" t="s">
        <v>90</v>
      </c>
      <c r="B282" s="2" t="s">
        <v>87</v>
      </c>
      <c r="C282" s="2" t="s">
        <v>10</v>
      </c>
      <c r="D282" s="2">
        <v>0.0</v>
      </c>
      <c r="E282" s="2">
        <v>0.0</v>
      </c>
      <c r="F282" s="2">
        <v>0.0</v>
      </c>
      <c r="G282" s="2">
        <v>0.0</v>
      </c>
      <c r="H282" s="2">
        <v>0.0</v>
      </c>
    </row>
    <row r="283" ht="14.25" customHeight="1">
      <c r="A283" s="2" t="s">
        <v>90</v>
      </c>
      <c r="B283" s="2" t="s">
        <v>89</v>
      </c>
      <c r="C283" s="2" t="s">
        <v>10</v>
      </c>
      <c r="D283" s="2">
        <v>0.0</v>
      </c>
      <c r="E283" s="2">
        <v>0.0</v>
      </c>
      <c r="F283" s="2">
        <v>0.0</v>
      </c>
      <c r="G283" s="2">
        <v>0.0</v>
      </c>
      <c r="H283" s="2">
        <v>0.0</v>
      </c>
    </row>
    <row r="284" ht="14.25" customHeight="1">
      <c r="A284" s="2" t="s">
        <v>90</v>
      </c>
      <c r="B284" s="2" t="s">
        <v>18</v>
      </c>
      <c r="C284" s="2" t="s">
        <v>10</v>
      </c>
      <c r="D284" s="2">
        <v>0.0</v>
      </c>
      <c r="E284" s="2">
        <v>0.0</v>
      </c>
      <c r="F284" s="2">
        <v>0.0</v>
      </c>
      <c r="G284" s="2">
        <v>0.0</v>
      </c>
      <c r="H284" s="2">
        <v>0.0</v>
      </c>
    </row>
    <row r="285" ht="14.25" customHeight="1">
      <c r="A285" s="2" t="s">
        <v>91</v>
      </c>
      <c r="B285" s="2" t="s">
        <v>21</v>
      </c>
      <c r="C285" s="2" t="s">
        <v>41</v>
      </c>
      <c r="D285" s="2">
        <v>0.0</v>
      </c>
      <c r="E285" s="2">
        <v>0.0</v>
      </c>
      <c r="F285" s="2">
        <v>0.0</v>
      </c>
      <c r="G285" s="2">
        <v>0.0</v>
      </c>
      <c r="H285" s="2">
        <v>0.0</v>
      </c>
    </row>
    <row r="286" ht="14.25" customHeight="1">
      <c r="A286" s="2" t="s">
        <v>91</v>
      </c>
      <c r="B286" s="2" t="s">
        <v>21</v>
      </c>
      <c r="C286" s="2" t="s">
        <v>42</v>
      </c>
      <c r="D286" s="2">
        <v>0.0</v>
      </c>
      <c r="E286" s="2">
        <v>0.0</v>
      </c>
      <c r="F286" s="2">
        <v>0.0</v>
      </c>
      <c r="G286" s="2">
        <v>0.0</v>
      </c>
      <c r="H286" s="2">
        <v>0.0</v>
      </c>
    </row>
    <row r="287" ht="14.25" customHeight="1">
      <c r="A287" s="2" t="s">
        <v>91</v>
      </c>
      <c r="B287" s="2" t="s">
        <v>21</v>
      </c>
      <c r="C287" s="2" t="s">
        <v>43</v>
      </c>
      <c r="D287" s="2">
        <v>0.0</v>
      </c>
      <c r="E287" s="2">
        <v>0.0</v>
      </c>
      <c r="F287" s="2">
        <v>0.0</v>
      </c>
      <c r="G287" s="2">
        <v>0.0</v>
      </c>
      <c r="H287" s="2">
        <v>0.0</v>
      </c>
    </row>
    <row r="288" ht="14.25" customHeight="1">
      <c r="A288" s="2" t="s">
        <v>91</v>
      </c>
      <c r="B288" s="2" t="s">
        <v>21</v>
      </c>
      <c r="C288" s="2" t="s">
        <v>59</v>
      </c>
      <c r="D288" s="2">
        <v>0.0</v>
      </c>
      <c r="E288" s="2">
        <v>0.0</v>
      </c>
      <c r="F288" s="2">
        <v>0.0</v>
      </c>
      <c r="G288" s="2">
        <v>0.0</v>
      </c>
      <c r="H288" s="2">
        <v>0.0</v>
      </c>
    </row>
    <row r="289" ht="14.25" customHeight="1">
      <c r="A289" s="2" t="s">
        <v>91</v>
      </c>
      <c r="B289" s="2" t="s">
        <v>21</v>
      </c>
      <c r="C289" s="2" t="s">
        <v>10</v>
      </c>
      <c r="D289" s="2">
        <v>0.0</v>
      </c>
      <c r="E289" s="2">
        <v>0.0</v>
      </c>
      <c r="F289" s="2">
        <v>0.0</v>
      </c>
      <c r="G289" s="2">
        <v>0.0</v>
      </c>
      <c r="H289" s="2">
        <v>0.0</v>
      </c>
    </row>
    <row r="290" ht="14.25" customHeight="1">
      <c r="A290" s="2" t="s">
        <v>91</v>
      </c>
      <c r="B290" s="2" t="s">
        <v>22</v>
      </c>
      <c r="C290" s="2" t="s">
        <v>60</v>
      </c>
      <c r="D290" s="2">
        <v>0.0</v>
      </c>
      <c r="E290" s="2">
        <v>0.0</v>
      </c>
      <c r="F290" s="2">
        <v>0.0</v>
      </c>
      <c r="G290" s="2">
        <v>0.0</v>
      </c>
      <c r="H290" s="2">
        <v>0.0</v>
      </c>
    </row>
    <row r="291" ht="14.25" customHeight="1">
      <c r="A291" s="2" t="s">
        <v>91</v>
      </c>
      <c r="B291" s="2" t="s">
        <v>22</v>
      </c>
      <c r="C291" s="2" t="s">
        <v>60</v>
      </c>
      <c r="D291" s="2">
        <v>0.0</v>
      </c>
      <c r="E291" s="2">
        <v>0.0</v>
      </c>
      <c r="F291" s="2">
        <v>0.0</v>
      </c>
      <c r="G291" s="2">
        <v>0.0</v>
      </c>
      <c r="H291" s="2">
        <v>0.0</v>
      </c>
    </row>
    <row r="292" ht="14.25" customHeight="1">
      <c r="A292" s="2" t="s">
        <v>91</v>
      </c>
      <c r="B292" s="2" t="s">
        <v>22</v>
      </c>
      <c r="C292" s="2" t="s">
        <v>60</v>
      </c>
      <c r="D292" s="2">
        <v>0.0</v>
      </c>
      <c r="E292" s="2">
        <v>0.0</v>
      </c>
      <c r="F292" s="2">
        <v>0.0</v>
      </c>
      <c r="G292" s="2">
        <v>0.0</v>
      </c>
      <c r="H292" s="2">
        <v>0.0</v>
      </c>
    </row>
    <row r="293" ht="14.25" customHeight="1">
      <c r="A293" s="2" t="s">
        <v>91</v>
      </c>
      <c r="B293" s="2" t="s">
        <v>22</v>
      </c>
      <c r="C293" s="2" t="s">
        <v>61</v>
      </c>
      <c r="D293" s="2">
        <v>0.69</v>
      </c>
      <c r="E293" s="2">
        <v>0.0</v>
      </c>
      <c r="F293" s="2">
        <v>1.66</v>
      </c>
      <c r="G293" s="2">
        <v>0.0</v>
      </c>
      <c r="H293" s="2">
        <v>0.01</v>
      </c>
    </row>
    <row r="294" ht="14.25" customHeight="1">
      <c r="A294" s="2" t="s">
        <v>91</v>
      </c>
      <c r="B294" s="2" t="s">
        <v>22</v>
      </c>
      <c r="C294" s="2" t="s">
        <v>61</v>
      </c>
      <c r="D294" s="2">
        <v>12.57</v>
      </c>
      <c r="E294" s="2">
        <v>0.0</v>
      </c>
      <c r="F294" s="2">
        <v>30.22</v>
      </c>
      <c r="G294" s="2">
        <v>0.03</v>
      </c>
      <c r="H294" s="2">
        <v>0.2</v>
      </c>
    </row>
    <row r="295" ht="14.25" customHeight="1">
      <c r="A295" s="2" t="s">
        <v>91</v>
      </c>
      <c r="B295" s="2" t="s">
        <v>22</v>
      </c>
      <c r="C295" s="2" t="s">
        <v>61</v>
      </c>
      <c r="D295" s="2">
        <v>4.96</v>
      </c>
      <c r="E295" s="2">
        <v>0.0</v>
      </c>
      <c r="F295" s="2">
        <v>11.92</v>
      </c>
      <c r="G295" s="2">
        <v>0.01</v>
      </c>
      <c r="H295" s="2">
        <v>0.08</v>
      </c>
    </row>
    <row r="296" ht="14.25" customHeight="1">
      <c r="A296" s="2" t="s">
        <v>91</v>
      </c>
      <c r="B296" s="2" t="s">
        <v>22</v>
      </c>
      <c r="C296" s="2" t="s">
        <v>62</v>
      </c>
      <c r="D296" s="2">
        <v>8.76</v>
      </c>
      <c r="E296" s="2">
        <v>0.0</v>
      </c>
      <c r="F296" s="2">
        <v>21.07</v>
      </c>
      <c r="G296" s="2">
        <v>0.02</v>
      </c>
      <c r="H296" s="2">
        <v>0.14</v>
      </c>
    </row>
    <row r="297" ht="14.25" customHeight="1">
      <c r="A297" s="2" t="s">
        <v>91</v>
      </c>
      <c r="B297" s="2" t="s">
        <v>22</v>
      </c>
      <c r="C297" s="2" t="s">
        <v>62</v>
      </c>
      <c r="D297" s="2">
        <v>0.58</v>
      </c>
      <c r="E297" s="2">
        <v>0.0</v>
      </c>
      <c r="F297" s="2">
        <v>1.39</v>
      </c>
      <c r="G297" s="2">
        <v>0.0</v>
      </c>
      <c r="H297" s="2">
        <v>0.01</v>
      </c>
    </row>
    <row r="298" ht="14.25" customHeight="1">
      <c r="A298" s="2" t="s">
        <v>91</v>
      </c>
      <c r="B298" s="2" t="s">
        <v>22</v>
      </c>
      <c r="C298" s="2" t="s">
        <v>92</v>
      </c>
      <c r="D298" s="2">
        <v>0.0</v>
      </c>
      <c r="E298" s="2">
        <v>0.0</v>
      </c>
      <c r="F298" s="2">
        <v>0.0</v>
      </c>
      <c r="G298" s="2">
        <v>0.0</v>
      </c>
      <c r="H298" s="2">
        <v>0.0</v>
      </c>
    </row>
    <row r="299" ht="14.25" customHeight="1">
      <c r="A299" s="2" t="s">
        <v>91</v>
      </c>
      <c r="B299" s="2" t="s">
        <v>22</v>
      </c>
      <c r="C299" s="2" t="s">
        <v>92</v>
      </c>
      <c r="D299" s="2">
        <v>0.0</v>
      </c>
      <c r="E299" s="2">
        <v>0.0</v>
      </c>
      <c r="F299" s="2">
        <v>0.0</v>
      </c>
      <c r="G299" s="2">
        <v>0.0</v>
      </c>
      <c r="H299" s="2">
        <v>0.0</v>
      </c>
    </row>
    <row r="300" ht="14.25" customHeight="1">
      <c r="A300" s="2" t="s">
        <v>91</v>
      </c>
      <c r="B300" s="2" t="s">
        <v>22</v>
      </c>
      <c r="C300" s="2" t="s">
        <v>63</v>
      </c>
      <c r="D300" s="2">
        <v>0.0</v>
      </c>
      <c r="E300" s="2">
        <v>0.0</v>
      </c>
      <c r="F300" s="2">
        <v>0.0</v>
      </c>
      <c r="G300" s="2">
        <v>0.0</v>
      </c>
      <c r="H300" s="2">
        <v>0.0</v>
      </c>
    </row>
    <row r="301" ht="14.25" customHeight="1">
      <c r="A301" s="2" t="s">
        <v>91</v>
      </c>
      <c r="B301" s="2" t="s">
        <v>22</v>
      </c>
      <c r="C301" s="2" t="s">
        <v>64</v>
      </c>
      <c r="D301" s="2">
        <v>0.0</v>
      </c>
      <c r="E301" s="2">
        <v>0.0</v>
      </c>
      <c r="F301" s="2">
        <v>0.0</v>
      </c>
      <c r="G301" s="2">
        <v>0.0</v>
      </c>
      <c r="H301" s="2">
        <v>0.0</v>
      </c>
    </row>
    <row r="302" ht="14.25" customHeight="1">
      <c r="A302" s="2" t="s">
        <v>91</v>
      </c>
      <c r="B302" s="2" t="s">
        <v>22</v>
      </c>
      <c r="C302" s="2" t="s">
        <v>65</v>
      </c>
      <c r="D302" s="2">
        <v>0.0</v>
      </c>
      <c r="E302" s="2">
        <v>0.0</v>
      </c>
      <c r="F302" s="2">
        <v>0.0</v>
      </c>
      <c r="G302" s="2">
        <v>0.0</v>
      </c>
      <c r="H302" s="2">
        <v>0.0</v>
      </c>
    </row>
    <row r="303" ht="14.25" customHeight="1">
      <c r="A303" s="2" t="s">
        <v>91</v>
      </c>
      <c r="B303" s="2" t="s">
        <v>22</v>
      </c>
      <c r="C303" s="2" t="s">
        <v>66</v>
      </c>
      <c r="D303" s="2">
        <v>0.0</v>
      </c>
      <c r="E303" s="2">
        <v>0.0</v>
      </c>
      <c r="F303" s="2">
        <v>0.0</v>
      </c>
      <c r="G303" s="2">
        <v>0.0</v>
      </c>
      <c r="H303" s="2">
        <v>0.0</v>
      </c>
    </row>
    <row r="304" ht="14.25" customHeight="1">
      <c r="A304" s="2" t="s">
        <v>91</v>
      </c>
      <c r="B304" s="2" t="s">
        <v>22</v>
      </c>
      <c r="C304" s="2" t="s">
        <v>67</v>
      </c>
      <c r="D304" s="2">
        <v>0.0</v>
      </c>
      <c r="E304" s="2">
        <v>0.0</v>
      </c>
      <c r="F304" s="2">
        <v>0.0</v>
      </c>
      <c r="G304" s="2">
        <v>0.0</v>
      </c>
      <c r="H304" s="2">
        <v>0.0</v>
      </c>
    </row>
    <row r="305" ht="14.25" customHeight="1">
      <c r="A305" s="2" t="s">
        <v>91</v>
      </c>
      <c r="B305" s="2" t="s">
        <v>22</v>
      </c>
      <c r="C305" s="2" t="s">
        <v>68</v>
      </c>
      <c r="D305" s="2">
        <v>0.0</v>
      </c>
      <c r="E305" s="2">
        <v>0.0</v>
      </c>
      <c r="F305" s="2">
        <v>0.0</v>
      </c>
      <c r="G305" s="2">
        <v>0.0</v>
      </c>
      <c r="H305" s="2">
        <v>0.0</v>
      </c>
    </row>
    <row r="306" ht="14.25" customHeight="1">
      <c r="A306" s="2" t="s">
        <v>91</v>
      </c>
      <c r="B306" s="2" t="s">
        <v>22</v>
      </c>
      <c r="C306" s="2" t="s">
        <v>10</v>
      </c>
      <c r="D306" s="2">
        <v>27.56</v>
      </c>
      <c r="E306" s="2">
        <v>0.0</v>
      </c>
      <c r="F306" s="2">
        <v>66.26</v>
      </c>
      <c r="G306" s="2">
        <v>0.06</v>
      </c>
      <c r="H306" s="2">
        <v>0.44</v>
      </c>
    </row>
    <row r="307" ht="14.25" customHeight="1">
      <c r="A307" s="2" t="s">
        <v>91</v>
      </c>
      <c r="B307" s="2" t="s">
        <v>23</v>
      </c>
      <c r="C307" s="2" t="s">
        <v>10</v>
      </c>
      <c r="D307" s="2">
        <v>0.0</v>
      </c>
      <c r="E307" s="2">
        <v>0.0</v>
      </c>
      <c r="F307" s="2">
        <v>0.0</v>
      </c>
      <c r="G307" s="2">
        <v>0.0</v>
      </c>
      <c r="H307" s="2">
        <v>0.0</v>
      </c>
    </row>
    <row r="308" ht="14.25" customHeight="1">
      <c r="A308" s="2" t="s">
        <v>91</v>
      </c>
      <c r="B308" s="2" t="s">
        <v>29</v>
      </c>
      <c r="C308" s="2" t="s">
        <v>10</v>
      </c>
      <c r="D308" s="2">
        <v>0.0</v>
      </c>
      <c r="E308" s="2">
        <v>0.0</v>
      </c>
      <c r="F308" s="2">
        <v>0.0</v>
      </c>
      <c r="G308" s="2">
        <v>0.0</v>
      </c>
      <c r="H308" s="2">
        <v>0.0</v>
      </c>
    </row>
    <row r="309" ht="14.25" customHeight="1">
      <c r="A309" s="2" t="s">
        <v>91</v>
      </c>
      <c r="B309" s="2" t="s">
        <v>18</v>
      </c>
      <c r="C309" s="2" t="s">
        <v>10</v>
      </c>
      <c r="D309" s="2">
        <v>0.0</v>
      </c>
      <c r="E309" s="2">
        <v>0.0</v>
      </c>
      <c r="F309" s="2">
        <v>0.0</v>
      </c>
      <c r="G309" s="2">
        <v>0.0</v>
      </c>
      <c r="H309" s="2">
        <v>0.0</v>
      </c>
    </row>
    <row r="310" ht="14.25" customHeight="1">
      <c r="A310" s="2" t="s">
        <v>93</v>
      </c>
      <c r="B310" s="2" t="s">
        <v>21</v>
      </c>
      <c r="C310" s="2" t="s">
        <v>41</v>
      </c>
      <c r="D310" s="2">
        <v>0.0</v>
      </c>
      <c r="E310" s="2">
        <v>0.0</v>
      </c>
      <c r="F310" s="2">
        <v>0.0</v>
      </c>
      <c r="G310" s="2">
        <v>0.0</v>
      </c>
      <c r="H310" s="2">
        <v>0.0</v>
      </c>
    </row>
    <row r="311" ht="14.25" customHeight="1">
      <c r="A311" s="2" t="s">
        <v>93</v>
      </c>
      <c r="B311" s="2" t="s">
        <v>21</v>
      </c>
      <c r="C311" s="2" t="s">
        <v>41</v>
      </c>
      <c r="D311" s="2">
        <v>0.0</v>
      </c>
      <c r="E311" s="2">
        <v>0.0</v>
      </c>
      <c r="F311" s="2">
        <v>0.0</v>
      </c>
      <c r="G311" s="2">
        <v>0.0</v>
      </c>
      <c r="H311" s="2">
        <v>0.0</v>
      </c>
    </row>
    <row r="312" ht="14.25" customHeight="1">
      <c r="A312" s="2" t="s">
        <v>93</v>
      </c>
      <c r="B312" s="2" t="s">
        <v>21</v>
      </c>
      <c r="C312" s="2" t="s">
        <v>41</v>
      </c>
      <c r="D312" s="2">
        <v>0.0</v>
      </c>
      <c r="E312" s="2">
        <v>0.0</v>
      </c>
      <c r="F312" s="2">
        <v>0.0</v>
      </c>
      <c r="G312" s="2">
        <v>0.0</v>
      </c>
      <c r="H312" s="2">
        <v>0.0</v>
      </c>
    </row>
    <row r="313" ht="14.25" customHeight="1">
      <c r="A313" s="2" t="s">
        <v>93</v>
      </c>
      <c r="B313" s="2" t="s">
        <v>21</v>
      </c>
      <c r="C313" s="2" t="s">
        <v>41</v>
      </c>
      <c r="D313" s="2">
        <v>0.0</v>
      </c>
      <c r="E313" s="2">
        <v>0.0</v>
      </c>
      <c r="F313" s="2">
        <v>0.0</v>
      </c>
      <c r="G313" s="2">
        <v>0.0</v>
      </c>
      <c r="H313" s="2">
        <v>0.0</v>
      </c>
    </row>
    <row r="314" ht="14.25" customHeight="1">
      <c r="A314" s="2" t="s">
        <v>93</v>
      </c>
      <c r="B314" s="2" t="s">
        <v>21</v>
      </c>
      <c r="C314" s="2" t="s">
        <v>41</v>
      </c>
      <c r="D314" s="2">
        <v>0.0</v>
      </c>
      <c r="E314" s="2">
        <v>0.0</v>
      </c>
      <c r="F314" s="2">
        <v>0.0</v>
      </c>
      <c r="G314" s="2">
        <v>0.0</v>
      </c>
      <c r="H314" s="2">
        <v>0.0</v>
      </c>
    </row>
    <row r="315" ht="14.25" customHeight="1">
      <c r="A315" s="2" t="s">
        <v>93</v>
      </c>
      <c r="B315" s="2" t="s">
        <v>21</v>
      </c>
      <c r="C315" s="2" t="s">
        <v>42</v>
      </c>
      <c r="D315" s="2">
        <v>9.8</v>
      </c>
      <c r="E315" s="2">
        <v>0.0</v>
      </c>
      <c r="F315" s="2">
        <v>23.57</v>
      </c>
      <c r="G315" s="2">
        <v>0.02</v>
      </c>
      <c r="H315" s="2">
        <v>0.15</v>
      </c>
    </row>
    <row r="316" ht="14.25" customHeight="1">
      <c r="A316" s="2" t="s">
        <v>93</v>
      </c>
      <c r="B316" s="2" t="s">
        <v>21</v>
      </c>
      <c r="C316" s="2" t="s">
        <v>43</v>
      </c>
      <c r="D316" s="2">
        <v>2.08</v>
      </c>
      <c r="E316" s="2">
        <v>0.0</v>
      </c>
      <c r="F316" s="2">
        <v>4.99</v>
      </c>
      <c r="G316" s="2">
        <v>0.0</v>
      </c>
      <c r="H316" s="2">
        <v>0.03</v>
      </c>
    </row>
    <row r="317" ht="14.25" customHeight="1">
      <c r="A317" s="2" t="s">
        <v>93</v>
      </c>
      <c r="B317" s="2" t="s">
        <v>21</v>
      </c>
      <c r="C317" s="2" t="s">
        <v>43</v>
      </c>
      <c r="D317" s="2">
        <v>0.58</v>
      </c>
      <c r="E317" s="2">
        <v>0.0</v>
      </c>
      <c r="F317" s="2">
        <v>1.39</v>
      </c>
      <c r="G317" s="2">
        <v>0.0</v>
      </c>
      <c r="H317" s="2">
        <v>0.01</v>
      </c>
    </row>
    <row r="318" ht="14.25" customHeight="1">
      <c r="A318" s="2" t="s">
        <v>93</v>
      </c>
      <c r="B318" s="2" t="s">
        <v>21</v>
      </c>
      <c r="C318" s="2" t="s">
        <v>43</v>
      </c>
      <c r="D318" s="2">
        <v>1.5</v>
      </c>
      <c r="E318" s="2">
        <v>0.0</v>
      </c>
      <c r="F318" s="2">
        <v>3.6</v>
      </c>
      <c r="G318" s="2">
        <v>0.0</v>
      </c>
      <c r="H318" s="2">
        <v>0.02</v>
      </c>
    </row>
    <row r="319" ht="14.25" customHeight="1">
      <c r="A319" s="2" t="s">
        <v>93</v>
      </c>
      <c r="B319" s="2" t="s">
        <v>21</v>
      </c>
      <c r="C319" s="2" t="s">
        <v>57</v>
      </c>
      <c r="D319" s="2">
        <v>0.0</v>
      </c>
      <c r="E319" s="2">
        <v>0.0</v>
      </c>
      <c r="F319" s="2">
        <v>0.0</v>
      </c>
      <c r="G319" s="2">
        <v>0.0</v>
      </c>
      <c r="H319" s="2">
        <v>0.0</v>
      </c>
    </row>
    <row r="320" ht="14.25" customHeight="1">
      <c r="A320" s="2" t="s">
        <v>93</v>
      </c>
      <c r="B320" s="2" t="s">
        <v>21</v>
      </c>
      <c r="C320" s="2" t="s">
        <v>58</v>
      </c>
      <c r="D320" s="2">
        <v>0.0</v>
      </c>
      <c r="E320" s="2">
        <v>0.0</v>
      </c>
      <c r="F320" s="2">
        <v>0.0</v>
      </c>
      <c r="G320" s="2">
        <v>0.0</v>
      </c>
      <c r="H320" s="2">
        <v>0.0</v>
      </c>
    </row>
    <row r="321" ht="14.25" customHeight="1">
      <c r="A321" s="2" t="s">
        <v>93</v>
      </c>
      <c r="B321" s="2" t="s">
        <v>21</v>
      </c>
      <c r="C321" s="2" t="s">
        <v>94</v>
      </c>
      <c r="D321" s="2">
        <v>0.0</v>
      </c>
      <c r="E321" s="2">
        <v>0.0</v>
      </c>
      <c r="F321" s="2">
        <v>0.0</v>
      </c>
      <c r="G321" s="2">
        <v>0.0</v>
      </c>
      <c r="H321" s="2">
        <v>0.0</v>
      </c>
    </row>
    <row r="322" ht="14.25" customHeight="1">
      <c r="A322" s="2" t="s">
        <v>93</v>
      </c>
      <c r="B322" s="2" t="s">
        <v>21</v>
      </c>
      <c r="C322" s="2" t="s">
        <v>44</v>
      </c>
      <c r="D322" s="2">
        <v>0.0</v>
      </c>
      <c r="E322" s="2">
        <v>0.0</v>
      </c>
      <c r="F322" s="2">
        <v>0.0</v>
      </c>
      <c r="G322" s="2">
        <v>0.0</v>
      </c>
      <c r="H322" s="2">
        <v>0.0</v>
      </c>
    </row>
    <row r="323" ht="14.25" customHeight="1">
      <c r="A323" s="2" t="s">
        <v>93</v>
      </c>
      <c r="B323" s="2" t="s">
        <v>21</v>
      </c>
      <c r="C323" s="2" t="s">
        <v>45</v>
      </c>
      <c r="D323" s="2">
        <v>0.0</v>
      </c>
      <c r="E323" s="2">
        <v>0.0</v>
      </c>
      <c r="F323" s="2">
        <v>0.0</v>
      </c>
      <c r="G323" s="2">
        <v>0.0</v>
      </c>
      <c r="H323" s="2">
        <v>0.0</v>
      </c>
    </row>
    <row r="324" ht="14.25" customHeight="1">
      <c r="A324" s="2" t="s">
        <v>93</v>
      </c>
      <c r="B324" s="2" t="s">
        <v>21</v>
      </c>
      <c r="C324" s="2" t="s">
        <v>59</v>
      </c>
      <c r="D324" s="2">
        <v>0.0</v>
      </c>
      <c r="E324" s="2">
        <v>0.0</v>
      </c>
      <c r="F324" s="2">
        <v>0.0</v>
      </c>
      <c r="G324" s="2">
        <v>0.0</v>
      </c>
      <c r="H324" s="2">
        <v>0.0</v>
      </c>
    </row>
    <row r="325" ht="14.25" customHeight="1">
      <c r="A325" s="2" t="s">
        <v>93</v>
      </c>
      <c r="B325" s="2" t="s">
        <v>21</v>
      </c>
      <c r="C325" s="2" t="s">
        <v>10</v>
      </c>
      <c r="D325" s="2">
        <v>13.96</v>
      </c>
      <c r="E325" s="2">
        <v>0.0</v>
      </c>
      <c r="F325" s="2">
        <v>33.55</v>
      </c>
      <c r="G325" s="2">
        <v>0.02</v>
      </c>
      <c r="H325" s="2">
        <v>0.21</v>
      </c>
    </row>
    <row r="326" ht="14.25" customHeight="1">
      <c r="A326" s="2" t="s">
        <v>93</v>
      </c>
      <c r="B326" s="2" t="s">
        <v>22</v>
      </c>
      <c r="C326" s="2" t="s">
        <v>10</v>
      </c>
      <c r="D326" s="2">
        <v>0.0</v>
      </c>
      <c r="E326" s="2">
        <v>0.0</v>
      </c>
      <c r="F326" s="2">
        <v>0.0</v>
      </c>
      <c r="G326" s="2">
        <v>0.0</v>
      </c>
      <c r="H326" s="2">
        <v>0.0</v>
      </c>
    </row>
    <row r="327" ht="14.25" customHeight="1">
      <c r="A327" s="2" t="s">
        <v>95</v>
      </c>
      <c r="B327" s="2" t="s">
        <v>96</v>
      </c>
      <c r="C327" s="2" t="s">
        <v>97</v>
      </c>
      <c r="D327" s="2">
        <v>0.0</v>
      </c>
      <c r="E327" s="2">
        <v>0.0</v>
      </c>
      <c r="F327" s="2">
        <v>0.0</v>
      </c>
      <c r="G327" s="2">
        <v>0.0</v>
      </c>
      <c r="H327" s="2">
        <v>0.0</v>
      </c>
    </row>
    <row r="328" ht="14.25" customHeight="1">
      <c r="A328" s="2" t="s">
        <v>95</v>
      </c>
      <c r="B328" s="2" t="s">
        <v>96</v>
      </c>
      <c r="C328" s="2" t="s">
        <v>10</v>
      </c>
      <c r="D328" s="2">
        <v>0.0</v>
      </c>
      <c r="E328" s="2">
        <v>0.0</v>
      </c>
      <c r="F328" s="2">
        <v>0.0</v>
      </c>
      <c r="G328" s="2">
        <v>0.0</v>
      </c>
      <c r="H328" s="2">
        <v>0.0</v>
      </c>
    </row>
    <row r="329" ht="14.25" customHeight="1">
      <c r="A329" s="2" t="s">
        <v>95</v>
      </c>
      <c r="B329" s="2" t="s">
        <v>98</v>
      </c>
      <c r="C329" s="2" t="s">
        <v>10</v>
      </c>
      <c r="D329" s="2">
        <v>0.0</v>
      </c>
      <c r="E329" s="2">
        <v>0.0</v>
      </c>
      <c r="F329" s="2">
        <v>0.0</v>
      </c>
      <c r="G329" s="2">
        <v>0.0</v>
      </c>
      <c r="H329" s="2">
        <v>0.0</v>
      </c>
    </row>
    <row r="330" ht="14.25" customHeight="1">
      <c r="A330" s="2" t="s">
        <v>99</v>
      </c>
      <c r="B330" s="2" t="s">
        <v>38</v>
      </c>
      <c r="C330" s="2" t="s">
        <v>39</v>
      </c>
      <c r="D330" s="2">
        <v>4.19</v>
      </c>
      <c r="E330" s="2">
        <v>0.0</v>
      </c>
      <c r="F330" s="2">
        <v>1.95</v>
      </c>
      <c r="G330" s="2">
        <v>0.0</v>
      </c>
      <c r="H330" s="2">
        <v>0.0</v>
      </c>
    </row>
    <row r="331" ht="14.25" customHeight="1">
      <c r="A331" s="2" t="s">
        <v>99</v>
      </c>
      <c r="B331" s="2" t="s">
        <v>38</v>
      </c>
      <c r="C331" s="2" t="s">
        <v>39</v>
      </c>
      <c r="D331" s="2">
        <v>1.71</v>
      </c>
      <c r="E331" s="2">
        <v>0.0</v>
      </c>
      <c r="F331" s="2">
        <v>0.8</v>
      </c>
      <c r="G331" s="2">
        <v>0.0</v>
      </c>
      <c r="H331" s="2">
        <v>0.0</v>
      </c>
    </row>
    <row r="332" ht="14.25" customHeight="1">
      <c r="A332" s="2" t="s">
        <v>99</v>
      </c>
      <c r="B332" s="2" t="s">
        <v>38</v>
      </c>
      <c r="C332" s="2" t="s">
        <v>16</v>
      </c>
      <c r="D332" s="2">
        <v>0.05</v>
      </c>
      <c r="E332" s="2">
        <v>0.0</v>
      </c>
      <c r="F332" s="2">
        <v>0.02</v>
      </c>
      <c r="G332" s="2">
        <v>0.0</v>
      </c>
      <c r="H332" s="2">
        <v>0.0</v>
      </c>
    </row>
    <row r="333" ht="14.25" customHeight="1">
      <c r="A333" s="2" t="s">
        <v>99</v>
      </c>
      <c r="B333" s="2" t="s">
        <v>38</v>
      </c>
      <c r="C333" s="2" t="s">
        <v>17</v>
      </c>
      <c r="D333" s="2">
        <v>0.0</v>
      </c>
      <c r="E333" s="2">
        <v>0.0</v>
      </c>
      <c r="F333" s="2">
        <v>0.0</v>
      </c>
      <c r="G333" s="2">
        <v>0.0</v>
      </c>
      <c r="H333" s="2">
        <v>0.0</v>
      </c>
    </row>
    <row r="334" ht="14.25" customHeight="1">
      <c r="A334" s="2" t="s">
        <v>99</v>
      </c>
      <c r="B334" s="2" t="s">
        <v>38</v>
      </c>
      <c r="C334" s="2" t="s">
        <v>10</v>
      </c>
      <c r="D334" s="2">
        <v>5.95</v>
      </c>
      <c r="E334" s="2">
        <v>0.0</v>
      </c>
      <c r="F334" s="2">
        <v>2.77</v>
      </c>
      <c r="G334" s="2">
        <v>0.0</v>
      </c>
      <c r="H334" s="2">
        <v>0.0</v>
      </c>
    </row>
    <row r="335" ht="14.25" customHeight="1">
      <c r="A335" s="2" t="s">
        <v>99</v>
      </c>
      <c r="B335" s="2" t="s">
        <v>18</v>
      </c>
      <c r="C335" s="2" t="s">
        <v>10</v>
      </c>
      <c r="D335" s="2">
        <v>0.0</v>
      </c>
      <c r="E335" s="2">
        <v>0.0</v>
      </c>
      <c r="F335" s="2">
        <v>0.0</v>
      </c>
      <c r="G335" s="2">
        <v>0.0</v>
      </c>
      <c r="H335" s="2">
        <v>0.0</v>
      </c>
    </row>
    <row r="336" ht="14.25" customHeight="1">
      <c r="A336" s="2" t="s">
        <v>100</v>
      </c>
      <c r="B336" s="2" t="s">
        <v>38</v>
      </c>
      <c r="C336" s="2" t="s">
        <v>39</v>
      </c>
      <c r="D336" s="2">
        <v>0.04</v>
      </c>
      <c r="E336" s="2">
        <v>0.0</v>
      </c>
      <c r="F336" s="2">
        <v>0.02</v>
      </c>
      <c r="G336" s="2">
        <v>0.0</v>
      </c>
      <c r="H336" s="2">
        <v>0.0</v>
      </c>
    </row>
    <row r="337" ht="14.25" customHeight="1">
      <c r="A337" s="2" t="s">
        <v>100</v>
      </c>
      <c r="B337" s="2" t="s">
        <v>38</v>
      </c>
      <c r="C337" s="2" t="s">
        <v>39</v>
      </c>
      <c r="D337" s="2">
        <v>0.06</v>
      </c>
      <c r="E337" s="2">
        <v>0.0</v>
      </c>
      <c r="F337" s="2">
        <v>0.03</v>
      </c>
      <c r="G337" s="2">
        <v>0.0</v>
      </c>
      <c r="H337" s="2">
        <v>0.0</v>
      </c>
    </row>
    <row r="338" ht="14.25" customHeight="1">
      <c r="A338" s="2" t="s">
        <v>100</v>
      </c>
      <c r="B338" s="2" t="s">
        <v>38</v>
      </c>
      <c r="C338" s="2" t="s">
        <v>39</v>
      </c>
      <c r="D338" s="2">
        <v>0.0</v>
      </c>
      <c r="E338" s="2">
        <v>0.0</v>
      </c>
      <c r="F338" s="2">
        <v>0.0</v>
      </c>
      <c r="G338" s="2">
        <v>0.0</v>
      </c>
      <c r="H338" s="2">
        <v>0.0</v>
      </c>
    </row>
    <row r="339" ht="14.25" customHeight="1">
      <c r="A339" s="2" t="s">
        <v>100</v>
      </c>
      <c r="B339" s="2" t="s">
        <v>38</v>
      </c>
      <c r="C339" s="2" t="s">
        <v>39</v>
      </c>
      <c r="D339" s="2">
        <v>0.17</v>
      </c>
      <c r="E339" s="2">
        <v>0.0</v>
      </c>
      <c r="F339" s="2">
        <v>0.08</v>
      </c>
      <c r="G339" s="2">
        <v>0.0</v>
      </c>
      <c r="H339" s="2">
        <v>0.0</v>
      </c>
    </row>
    <row r="340" ht="14.25" customHeight="1">
      <c r="A340" s="2" t="s">
        <v>100</v>
      </c>
      <c r="B340" s="2" t="s">
        <v>38</v>
      </c>
      <c r="C340" s="2" t="s">
        <v>39</v>
      </c>
      <c r="D340" s="2">
        <v>0.0</v>
      </c>
      <c r="E340" s="2">
        <v>0.0</v>
      </c>
      <c r="F340" s="2">
        <v>0.0</v>
      </c>
      <c r="G340" s="2">
        <v>0.0</v>
      </c>
      <c r="H340" s="2">
        <v>0.0</v>
      </c>
    </row>
    <row r="341" ht="14.25" customHeight="1">
      <c r="A341" s="2" t="s">
        <v>100</v>
      </c>
      <c r="B341" s="2" t="s">
        <v>38</v>
      </c>
      <c r="C341" s="2" t="s">
        <v>39</v>
      </c>
      <c r="D341" s="2">
        <v>0.0</v>
      </c>
      <c r="E341" s="2">
        <v>0.0</v>
      </c>
      <c r="F341" s="2">
        <v>0.0</v>
      </c>
      <c r="G341" s="2">
        <v>0.0</v>
      </c>
      <c r="H341" s="2">
        <v>0.0</v>
      </c>
    </row>
    <row r="342" ht="14.25" customHeight="1">
      <c r="A342" s="2" t="s">
        <v>100</v>
      </c>
      <c r="B342" s="2" t="s">
        <v>38</v>
      </c>
      <c r="C342" s="2" t="s">
        <v>39</v>
      </c>
      <c r="D342" s="2">
        <v>1.97</v>
      </c>
      <c r="E342" s="2">
        <v>0.0</v>
      </c>
      <c r="F342" s="2">
        <v>0.92</v>
      </c>
      <c r="G342" s="2">
        <v>0.0</v>
      </c>
      <c r="H342" s="2">
        <v>0.0</v>
      </c>
    </row>
    <row r="343" ht="14.25" customHeight="1">
      <c r="A343" s="2" t="s">
        <v>100</v>
      </c>
      <c r="B343" s="2" t="s">
        <v>38</v>
      </c>
      <c r="C343" s="2" t="s">
        <v>39</v>
      </c>
      <c r="D343" s="2">
        <v>0.0</v>
      </c>
      <c r="E343" s="2">
        <v>0.0</v>
      </c>
      <c r="F343" s="2">
        <v>0.0</v>
      </c>
      <c r="G343" s="2">
        <v>0.0</v>
      </c>
      <c r="H343" s="2">
        <v>0.0</v>
      </c>
    </row>
    <row r="344" ht="14.25" customHeight="1">
      <c r="A344" s="2" t="s">
        <v>100</v>
      </c>
      <c r="B344" s="2" t="s">
        <v>38</v>
      </c>
      <c r="C344" s="2" t="s">
        <v>39</v>
      </c>
      <c r="D344" s="2">
        <v>1.66</v>
      </c>
      <c r="E344" s="2">
        <v>0.0</v>
      </c>
      <c r="F344" s="2">
        <v>0.77</v>
      </c>
      <c r="G344" s="2">
        <v>0.0</v>
      </c>
      <c r="H344" s="2">
        <v>0.0</v>
      </c>
    </row>
    <row r="345" ht="14.25" customHeight="1">
      <c r="A345" s="2" t="s">
        <v>100</v>
      </c>
      <c r="B345" s="2" t="s">
        <v>38</v>
      </c>
      <c r="C345" s="2" t="s">
        <v>101</v>
      </c>
      <c r="D345" s="2">
        <v>0.0</v>
      </c>
      <c r="E345" s="2">
        <v>0.0</v>
      </c>
      <c r="F345" s="2">
        <v>0.0</v>
      </c>
      <c r="G345" s="2">
        <v>0.0</v>
      </c>
      <c r="H345" s="2">
        <v>0.0</v>
      </c>
    </row>
    <row r="346" ht="14.25" customHeight="1">
      <c r="A346" s="2" t="s">
        <v>100</v>
      </c>
      <c r="B346" s="2" t="s">
        <v>38</v>
      </c>
      <c r="C346" s="2" t="s">
        <v>101</v>
      </c>
      <c r="D346" s="2">
        <v>0.0</v>
      </c>
      <c r="E346" s="2">
        <v>0.0</v>
      </c>
      <c r="F346" s="2">
        <v>0.0</v>
      </c>
      <c r="G346" s="2">
        <v>0.0</v>
      </c>
      <c r="H346" s="2">
        <v>0.0</v>
      </c>
    </row>
    <row r="347" ht="14.25" customHeight="1">
      <c r="A347" s="2" t="s">
        <v>100</v>
      </c>
      <c r="B347" s="2" t="s">
        <v>38</v>
      </c>
      <c r="C347" s="2" t="s">
        <v>101</v>
      </c>
      <c r="D347" s="2">
        <v>0.0</v>
      </c>
      <c r="E347" s="2">
        <v>0.0</v>
      </c>
      <c r="F347" s="2">
        <v>0.0</v>
      </c>
      <c r="G347" s="2">
        <v>0.0</v>
      </c>
      <c r="H347" s="2">
        <v>0.0</v>
      </c>
    </row>
    <row r="348" ht="14.25" customHeight="1">
      <c r="A348" s="2" t="s">
        <v>100</v>
      </c>
      <c r="B348" s="2" t="s">
        <v>38</v>
      </c>
      <c r="C348" s="2" t="s">
        <v>16</v>
      </c>
      <c r="D348" s="2">
        <v>2.38</v>
      </c>
      <c r="E348" s="2">
        <v>0.0</v>
      </c>
      <c r="F348" s="2">
        <v>1.11</v>
      </c>
      <c r="G348" s="2">
        <v>0.0</v>
      </c>
      <c r="H348" s="2">
        <v>0.0</v>
      </c>
    </row>
    <row r="349" ht="14.25" customHeight="1">
      <c r="A349" s="2" t="s">
        <v>100</v>
      </c>
      <c r="B349" s="2" t="s">
        <v>38</v>
      </c>
      <c r="C349" s="2" t="s">
        <v>17</v>
      </c>
      <c r="D349" s="2">
        <v>0.0</v>
      </c>
      <c r="E349" s="2">
        <v>0.0</v>
      </c>
      <c r="F349" s="2">
        <v>0.0</v>
      </c>
      <c r="G349" s="2">
        <v>0.0</v>
      </c>
      <c r="H349" s="2">
        <v>0.0</v>
      </c>
    </row>
    <row r="350" ht="14.25" customHeight="1">
      <c r="A350" s="2" t="s">
        <v>100</v>
      </c>
      <c r="B350" s="2" t="s">
        <v>38</v>
      </c>
      <c r="C350" s="2" t="s">
        <v>10</v>
      </c>
      <c r="D350" s="2">
        <v>6.28</v>
      </c>
      <c r="E350" s="2">
        <v>0.0</v>
      </c>
      <c r="F350" s="2">
        <v>2.93</v>
      </c>
      <c r="G350" s="2">
        <v>0.0</v>
      </c>
      <c r="H350" s="2">
        <v>0.0</v>
      </c>
    </row>
    <row r="351" ht="14.25" customHeight="1">
      <c r="A351" s="2" t="s">
        <v>100</v>
      </c>
      <c r="B351" s="2" t="s">
        <v>18</v>
      </c>
      <c r="C351" s="2" t="s">
        <v>82</v>
      </c>
      <c r="D351" s="2">
        <v>0.0</v>
      </c>
      <c r="E351" s="2">
        <v>0.0</v>
      </c>
      <c r="F351" s="2">
        <v>0.0</v>
      </c>
      <c r="G351" s="2">
        <v>0.0</v>
      </c>
      <c r="H351" s="2">
        <v>0.0</v>
      </c>
    </row>
    <row r="352" ht="14.25" customHeight="1">
      <c r="A352" s="2" t="s">
        <v>100</v>
      </c>
      <c r="B352" s="2" t="s">
        <v>18</v>
      </c>
      <c r="C352" s="2" t="s">
        <v>10</v>
      </c>
      <c r="D352" s="2">
        <v>0.0</v>
      </c>
      <c r="E352" s="2">
        <v>0.0</v>
      </c>
      <c r="F352" s="2">
        <v>0.0</v>
      </c>
      <c r="G352" s="2">
        <v>0.0</v>
      </c>
      <c r="H352" s="2">
        <v>0.0</v>
      </c>
    </row>
    <row r="353" ht="14.25" customHeight="1">
      <c r="A353" s="2" t="s">
        <v>102</v>
      </c>
      <c r="B353" s="2" t="s">
        <v>103</v>
      </c>
      <c r="C353" s="2" t="s">
        <v>104</v>
      </c>
      <c r="D353" s="2">
        <v>86.26</v>
      </c>
      <c r="E353" s="2">
        <v>0.01</v>
      </c>
      <c r="F353" s="2">
        <v>40.17</v>
      </c>
      <c r="G353" s="2">
        <v>0.04</v>
      </c>
      <c r="H353" s="2">
        <v>0.09</v>
      </c>
    </row>
    <row r="354" ht="14.25" customHeight="1">
      <c r="A354" s="2" t="s">
        <v>102</v>
      </c>
      <c r="B354" s="2" t="s">
        <v>103</v>
      </c>
      <c r="C354" s="2" t="s">
        <v>104</v>
      </c>
      <c r="D354" s="2">
        <v>22.84</v>
      </c>
      <c r="E354" s="2">
        <v>0.0</v>
      </c>
      <c r="F354" s="2">
        <v>10.63</v>
      </c>
      <c r="G354" s="2">
        <v>0.01</v>
      </c>
      <c r="H354" s="2">
        <v>0.02</v>
      </c>
    </row>
    <row r="355" ht="14.25" customHeight="1">
      <c r="A355" s="2" t="s">
        <v>102</v>
      </c>
      <c r="B355" s="2" t="s">
        <v>103</v>
      </c>
      <c r="C355" s="2" t="s">
        <v>104</v>
      </c>
      <c r="D355" s="2">
        <v>16.15</v>
      </c>
      <c r="E355" s="2">
        <v>0.0</v>
      </c>
      <c r="F355" s="2">
        <v>7.52</v>
      </c>
      <c r="G355" s="2">
        <v>0.01</v>
      </c>
      <c r="H355" s="2">
        <v>0.02</v>
      </c>
    </row>
    <row r="356" ht="14.25" customHeight="1">
      <c r="A356" s="2" t="s">
        <v>102</v>
      </c>
      <c r="B356" s="2" t="s">
        <v>103</v>
      </c>
      <c r="C356" s="2" t="s">
        <v>104</v>
      </c>
      <c r="D356" s="2">
        <v>1.26</v>
      </c>
      <c r="E356" s="2">
        <v>0.0</v>
      </c>
      <c r="F356" s="2">
        <v>0.59</v>
      </c>
      <c r="G356" s="2">
        <v>0.0</v>
      </c>
      <c r="H356" s="2">
        <v>0.0</v>
      </c>
    </row>
    <row r="357" ht="14.25" customHeight="1">
      <c r="A357" s="2" t="s">
        <v>102</v>
      </c>
      <c r="B357" s="2" t="s">
        <v>103</v>
      </c>
      <c r="C357" s="2" t="s">
        <v>104</v>
      </c>
      <c r="D357" s="2">
        <v>2.05</v>
      </c>
      <c r="E357" s="2">
        <v>0.0</v>
      </c>
      <c r="F357" s="2">
        <v>0.95</v>
      </c>
      <c r="G357" s="2">
        <v>0.0</v>
      </c>
      <c r="H357" s="2">
        <v>0.0</v>
      </c>
    </row>
    <row r="358" ht="14.25" customHeight="1">
      <c r="A358" s="2" t="s">
        <v>102</v>
      </c>
      <c r="B358" s="2" t="s">
        <v>103</v>
      </c>
      <c r="C358" s="2" t="s">
        <v>104</v>
      </c>
      <c r="D358" s="2">
        <v>0.92</v>
      </c>
      <c r="E358" s="2">
        <v>0.0</v>
      </c>
      <c r="F358" s="2">
        <v>0.43</v>
      </c>
      <c r="G358" s="2">
        <v>0.0</v>
      </c>
      <c r="H358" s="2">
        <v>0.0</v>
      </c>
    </row>
    <row r="359" ht="14.25" customHeight="1">
      <c r="A359" s="2" t="s">
        <v>102</v>
      </c>
      <c r="B359" s="2" t="s">
        <v>103</v>
      </c>
      <c r="C359" s="2" t="s">
        <v>104</v>
      </c>
      <c r="D359" s="2">
        <v>5.62</v>
      </c>
      <c r="E359" s="2">
        <v>0.0</v>
      </c>
      <c r="F359" s="2">
        <v>2.62</v>
      </c>
      <c r="G359" s="2">
        <v>0.0</v>
      </c>
      <c r="H359" s="2">
        <v>0.01</v>
      </c>
    </row>
    <row r="360" ht="14.25" customHeight="1">
      <c r="A360" s="2" t="s">
        <v>102</v>
      </c>
      <c r="B360" s="2" t="s">
        <v>103</v>
      </c>
      <c r="C360" s="2" t="s">
        <v>16</v>
      </c>
      <c r="D360" s="2">
        <v>4.76</v>
      </c>
      <c r="E360" s="2">
        <v>0.0</v>
      </c>
      <c r="F360" s="2">
        <v>2.22</v>
      </c>
      <c r="G360" s="2">
        <v>0.0</v>
      </c>
      <c r="H360" s="2">
        <v>0.01</v>
      </c>
    </row>
    <row r="361" ht="14.25" customHeight="1">
      <c r="A361" s="2" t="s">
        <v>102</v>
      </c>
      <c r="B361" s="2" t="s">
        <v>103</v>
      </c>
      <c r="C361" s="2" t="s">
        <v>17</v>
      </c>
      <c r="D361" s="2">
        <v>0.0</v>
      </c>
      <c r="E361" s="2">
        <v>0.0</v>
      </c>
      <c r="F361" s="2">
        <v>0.0</v>
      </c>
      <c r="G361" s="2">
        <v>0.0</v>
      </c>
      <c r="H361" s="2">
        <v>0.0</v>
      </c>
    </row>
    <row r="362" ht="14.25" customHeight="1">
      <c r="A362" s="2" t="s">
        <v>102</v>
      </c>
      <c r="B362" s="2" t="s">
        <v>103</v>
      </c>
      <c r="C362" s="2" t="s">
        <v>10</v>
      </c>
      <c r="D362" s="2">
        <v>139.86</v>
      </c>
      <c r="E362" s="2">
        <v>0.01</v>
      </c>
      <c r="F362" s="2">
        <v>65.13</v>
      </c>
      <c r="G362" s="2">
        <v>0.06</v>
      </c>
      <c r="H362" s="2">
        <v>0.15</v>
      </c>
    </row>
    <row r="363" ht="14.25" customHeight="1">
      <c r="A363" s="2" t="s">
        <v>102</v>
      </c>
      <c r="B363" s="2" t="s">
        <v>18</v>
      </c>
      <c r="C363" s="2" t="s">
        <v>10</v>
      </c>
      <c r="D363" s="2">
        <v>0.0</v>
      </c>
      <c r="E363" s="2">
        <v>0.0</v>
      </c>
      <c r="F363" s="2">
        <v>0.0</v>
      </c>
      <c r="G363" s="2">
        <v>0.0</v>
      </c>
      <c r="H363" s="2">
        <v>0.0</v>
      </c>
    </row>
    <row r="364" ht="14.25" customHeight="1">
      <c r="A364" s="2" t="s">
        <v>105</v>
      </c>
      <c r="B364" s="2" t="s">
        <v>23</v>
      </c>
      <c r="C364" s="2" t="s">
        <v>24</v>
      </c>
      <c r="D364" s="2">
        <v>0.0</v>
      </c>
      <c r="E364" s="2">
        <v>0.0</v>
      </c>
      <c r="F364" s="2">
        <v>0.0</v>
      </c>
      <c r="G364" s="2">
        <v>0.0</v>
      </c>
      <c r="H364" s="2">
        <v>0.0</v>
      </c>
    </row>
    <row r="365" ht="14.25" customHeight="1">
      <c r="A365" s="2" t="s">
        <v>105</v>
      </c>
      <c r="B365" s="2" t="s">
        <v>23</v>
      </c>
      <c r="C365" s="2" t="s">
        <v>24</v>
      </c>
      <c r="D365" s="2">
        <v>0.0</v>
      </c>
      <c r="E365" s="2">
        <v>0.0</v>
      </c>
      <c r="F365" s="2">
        <v>0.0</v>
      </c>
      <c r="G365" s="2">
        <v>0.0</v>
      </c>
      <c r="H365" s="2">
        <v>0.0</v>
      </c>
    </row>
    <row r="366" ht="14.25" customHeight="1">
      <c r="A366" s="2" t="s">
        <v>105</v>
      </c>
      <c r="B366" s="2" t="s">
        <v>23</v>
      </c>
      <c r="C366" s="2" t="s">
        <v>25</v>
      </c>
      <c r="D366" s="2">
        <v>0.0</v>
      </c>
      <c r="E366" s="2">
        <v>0.0</v>
      </c>
      <c r="F366" s="2">
        <v>0.0</v>
      </c>
      <c r="G366" s="2">
        <v>0.0</v>
      </c>
      <c r="H366" s="2">
        <v>0.0</v>
      </c>
    </row>
    <row r="367" ht="14.25" customHeight="1">
      <c r="A367" s="2" t="s">
        <v>105</v>
      </c>
      <c r="B367" s="2" t="s">
        <v>23</v>
      </c>
      <c r="C367" s="2" t="s">
        <v>25</v>
      </c>
      <c r="D367" s="2">
        <v>0.0</v>
      </c>
      <c r="E367" s="2">
        <v>0.0</v>
      </c>
      <c r="F367" s="2">
        <v>0.0</v>
      </c>
      <c r="G367" s="2">
        <v>0.0</v>
      </c>
      <c r="H367" s="2">
        <v>0.0</v>
      </c>
    </row>
    <row r="368" ht="14.25" customHeight="1">
      <c r="A368" s="2" t="s">
        <v>105</v>
      </c>
      <c r="B368" s="2" t="s">
        <v>23</v>
      </c>
      <c r="C368" s="2" t="s">
        <v>25</v>
      </c>
      <c r="D368" s="2">
        <v>0.0</v>
      </c>
      <c r="E368" s="2">
        <v>0.0</v>
      </c>
      <c r="F368" s="2">
        <v>0.0</v>
      </c>
      <c r="G368" s="2">
        <v>0.0</v>
      </c>
      <c r="H368" s="2">
        <v>0.0</v>
      </c>
    </row>
    <row r="369" ht="14.25" customHeight="1">
      <c r="A369" s="2" t="s">
        <v>105</v>
      </c>
      <c r="B369" s="2" t="s">
        <v>23</v>
      </c>
      <c r="C369" s="2" t="s">
        <v>25</v>
      </c>
      <c r="D369" s="2">
        <v>0.0</v>
      </c>
      <c r="E369" s="2">
        <v>0.0</v>
      </c>
      <c r="F369" s="2">
        <v>0.0</v>
      </c>
      <c r="G369" s="2">
        <v>0.0</v>
      </c>
      <c r="H369" s="2">
        <v>0.0</v>
      </c>
    </row>
    <row r="370" ht="14.25" customHeight="1">
      <c r="A370" s="2" t="s">
        <v>105</v>
      </c>
      <c r="B370" s="2" t="s">
        <v>23</v>
      </c>
      <c r="C370" s="2" t="s">
        <v>25</v>
      </c>
      <c r="D370" s="2">
        <v>0.0</v>
      </c>
      <c r="E370" s="2">
        <v>0.0</v>
      </c>
      <c r="F370" s="2">
        <v>0.0</v>
      </c>
      <c r="G370" s="2">
        <v>0.0</v>
      </c>
      <c r="H370" s="2">
        <v>0.0</v>
      </c>
    </row>
    <row r="371" ht="14.25" customHeight="1">
      <c r="A371" s="2" t="s">
        <v>105</v>
      </c>
      <c r="B371" s="2" t="s">
        <v>23</v>
      </c>
      <c r="C371" s="2" t="s">
        <v>31</v>
      </c>
      <c r="D371" s="2">
        <v>0.0</v>
      </c>
      <c r="E371" s="2">
        <v>0.0</v>
      </c>
      <c r="F371" s="2">
        <v>0.0</v>
      </c>
      <c r="G371" s="2">
        <v>0.0</v>
      </c>
      <c r="H371" s="2">
        <v>0.0</v>
      </c>
    </row>
    <row r="372" ht="14.25" customHeight="1">
      <c r="A372" s="2" t="s">
        <v>105</v>
      </c>
      <c r="B372" s="2" t="s">
        <v>23</v>
      </c>
      <c r="C372" s="2" t="s">
        <v>31</v>
      </c>
      <c r="D372" s="2">
        <v>0.0</v>
      </c>
      <c r="E372" s="2">
        <v>0.0</v>
      </c>
      <c r="F372" s="2">
        <v>0.0</v>
      </c>
      <c r="G372" s="2">
        <v>0.0</v>
      </c>
      <c r="H372" s="2">
        <v>0.0</v>
      </c>
    </row>
    <row r="373" ht="14.25" customHeight="1">
      <c r="A373" s="2" t="s">
        <v>105</v>
      </c>
      <c r="B373" s="2" t="s">
        <v>23</v>
      </c>
      <c r="C373" s="2" t="s">
        <v>32</v>
      </c>
      <c r="D373" s="2">
        <v>306.75</v>
      </c>
      <c r="E373" s="2">
        <v>0.04</v>
      </c>
      <c r="F373" s="2">
        <v>62.24</v>
      </c>
      <c r="G373" s="2">
        <v>0.45</v>
      </c>
      <c r="H373" s="2">
        <v>0.0</v>
      </c>
    </row>
    <row r="374" ht="14.25" customHeight="1">
      <c r="A374" s="2" t="s">
        <v>105</v>
      </c>
      <c r="B374" s="2" t="s">
        <v>23</v>
      </c>
      <c r="C374" s="2" t="s">
        <v>32</v>
      </c>
      <c r="D374" s="2">
        <v>173.88</v>
      </c>
      <c r="E374" s="2">
        <v>0.02</v>
      </c>
      <c r="F374" s="2">
        <v>35.28</v>
      </c>
      <c r="G374" s="2">
        <v>0.26</v>
      </c>
      <c r="H374" s="2">
        <v>0.0</v>
      </c>
    </row>
    <row r="375" ht="14.25" customHeight="1">
      <c r="A375" s="2" t="s">
        <v>105</v>
      </c>
      <c r="B375" s="2" t="s">
        <v>23</v>
      </c>
      <c r="C375" s="2" t="s">
        <v>26</v>
      </c>
      <c r="D375" s="2">
        <v>0.0</v>
      </c>
      <c r="E375" s="2">
        <v>0.0</v>
      </c>
      <c r="F375" s="2">
        <v>0.0</v>
      </c>
      <c r="G375" s="2">
        <v>0.0</v>
      </c>
      <c r="H375" s="2">
        <v>0.0</v>
      </c>
    </row>
    <row r="376" ht="14.25" customHeight="1">
      <c r="A376" s="2" t="s">
        <v>105</v>
      </c>
      <c r="B376" s="2" t="s">
        <v>23</v>
      </c>
      <c r="C376" s="2" t="s">
        <v>33</v>
      </c>
      <c r="D376" s="2">
        <v>0.0</v>
      </c>
      <c r="E376" s="2">
        <v>0.0</v>
      </c>
      <c r="F376" s="2">
        <v>0.0</v>
      </c>
      <c r="G376" s="2">
        <v>0.0</v>
      </c>
      <c r="H376" s="2">
        <v>0.0</v>
      </c>
    </row>
    <row r="377" ht="14.25" customHeight="1">
      <c r="A377" s="2" t="s">
        <v>105</v>
      </c>
      <c r="B377" s="2" t="s">
        <v>23</v>
      </c>
      <c r="C377" s="2" t="s">
        <v>10</v>
      </c>
      <c r="D377" s="2">
        <v>480.63</v>
      </c>
      <c r="E377" s="2">
        <v>0.06</v>
      </c>
      <c r="F377" s="2">
        <v>97.52</v>
      </c>
      <c r="G377" s="2">
        <v>0.71</v>
      </c>
      <c r="H377" s="2">
        <v>0.0</v>
      </c>
    </row>
    <row r="378" ht="14.25" customHeight="1">
      <c r="A378" s="2" t="s">
        <v>105</v>
      </c>
      <c r="B378" s="2" t="s">
        <v>29</v>
      </c>
      <c r="C378" s="2" t="s">
        <v>10</v>
      </c>
      <c r="D378" s="2">
        <v>0.0</v>
      </c>
      <c r="E378" s="2">
        <v>0.0</v>
      </c>
      <c r="F378" s="2">
        <v>0.0</v>
      </c>
      <c r="G378" s="2">
        <v>0.0</v>
      </c>
      <c r="H378" s="2">
        <v>0.0</v>
      </c>
    </row>
    <row r="379" ht="14.25" customHeight="1">
      <c r="A379" s="2" t="s">
        <v>105</v>
      </c>
      <c r="B379" s="2" t="s">
        <v>18</v>
      </c>
      <c r="C379" s="2" t="s">
        <v>10</v>
      </c>
      <c r="D379" s="2">
        <v>0.0</v>
      </c>
      <c r="E379" s="2">
        <v>0.0</v>
      </c>
      <c r="F379" s="2">
        <v>0.0</v>
      </c>
      <c r="G379" s="2">
        <v>0.0</v>
      </c>
      <c r="H379" s="2">
        <v>0.0</v>
      </c>
    </row>
    <row r="380" ht="14.25" customHeight="1">
      <c r="A380" s="2" t="s">
        <v>106</v>
      </c>
      <c r="B380" s="2" t="s">
        <v>23</v>
      </c>
      <c r="C380" s="2" t="s">
        <v>24</v>
      </c>
      <c r="D380" s="2">
        <v>19.02</v>
      </c>
      <c r="E380" s="2">
        <v>0.0</v>
      </c>
      <c r="F380" s="2">
        <v>3.86</v>
      </c>
      <c r="G380" s="2">
        <v>0.03</v>
      </c>
      <c r="H380" s="2">
        <v>0.0</v>
      </c>
    </row>
    <row r="381" ht="14.25" customHeight="1">
      <c r="A381" s="2" t="s">
        <v>106</v>
      </c>
      <c r="B381" s="2" t="s">
        <v>23</v>
      </c>
      <c r="C381" s="2" t="s">
        <v>24</v>
      </c>
      <c r="D381" s="2">
        <v>57.07</v>
      </c>
      <c r="E381" s="2">
        <v>0.01</v>
      </c>
      <c r="F381" s="2">
        <v>11.58</v>
      </c>
      <c r="G381" s="2">
        <v>0.08</v>
      </c>
      <c r="H381" s="2">
        <v>0.0</v>
      </c>
    </row>
    <row r="382" ht="14.25" customHeight="1">
      <c r="A382" s="2" t="s">
        <v>106</v>
      </c>
      <c r="B382" s="2" t="s">
        <v>23</v>
      </c>
      <c r="C382" s="2" t="s">
        <v>25</v>
      </c>
      <c r="D382" s="2">
        <v>21.4</v>
      </c>
      <c r="E382" s="2">
        <v>0.0</v>
      </c>
      <c r="F382" s="2">
        <v>4.34</v>
      </c>
      <c r="G382" s="2">
        <v>0.03</v>
      </c>
      <c r="H382" s="2">
        <v>0.0</v>
      </c>
    </row>
    <row r="383" ht="14.25" customHeight="1">
      <c r="A383" s="2" t="s">
        <v>106</v>
      </c>
      <c r="B383" s="2" t="s">
        <v>23</v>
      </c>
      <c r="C383" s="2" t="s">
        <v>25</v>
      </c>
      <c r="D383" s="2">
        <v>3.57</v>
      </c>
      <c r="E383" s="2">
        <v>0.0</v>
      </c>
      <c r="F383" s="2">
        <v>0.72</v>
      </c>
      <c r="G383" s="2">
        <v>0.01</v>
      </c>
      <c r="H383" s="2">
        <v>0.0</v>
      </c>
    </row>
    <row r="384" ht="14.25" customHeight="1">
      <c r="A384" s="2" t="s">
        <v>106</v>
      </c>
      <c r="B384" s="2" t="s">
        <v>23</v>
      </c>
      <c r="C384" s="2" t="s">
        <v>25</v>
      </c>
      <c r="D384" s="2">
        <v>0.0</v>
      </c>
      <c r="E384" s="2">
        <v>0.0</v>
      </c>
      <c r="F384" s="2">
        <v>0.0</v>
      </c>
      <c r="G384" s="2">
        <v>0.0</v>
      </c>
      <c r="H384" s="2">
        <v>0.0</v>
      </c>
    </row>
    <row r="385" ht="14.25" customHeight="1">
      <c r="A385" s="2" t="s">
        <v>106</v>
      </c>
      <c r="B385" s="2" t="s">
        <v>23</v>
      </c>
      <c r="C385" s="2" t="s">
        <v>25</v>
      </c>
      <c r="D385" s="2">
        <v>0.0</v>
      </c>
      <c r="E385" s="2">
        <v>0.0</v>
      </c>
      <c r="F385" s="2">
        <v>0.0</v>
      </c>
      <c r="G385" s="2">
        <v>0.0</v>
      </c>
      <c r="H385" s="2">
        <v>0.0</v>
      </c>
    </row>
    <row r="386" ht="14.25" customHeight="1">
      <c r="A386" s="2" t="s">
        <v>106</v>
      </c>
      <c r="B386" s="2" t="s">
        <v>23</v>
      </c>
      <c r="C386" s="2" t="s">
        <v>31</v>
      </c>
      <c r="D386" s="2">
        <v>8.32</v>
      </c>
      <c r="E386" s="2">
        <v>0.0</v>
      </c>
      <c r="F386" s="2">
        <v>1.69</v>
      </c>
      <c r="G386" s="2">
        <v>0.01</v>
      </c>
      <c r="H386" s="2">
        <v>0.0</v>
      </c>
    </row>
    <row r="387" ht="14.25" customHeight="1">
      <c r="A387" s="2" t="s">
        <v>106</v>
      </c>
      <c r="B387" s="2" t="s">
        <v>23</v>
      </c>
      <c r="C387" s="2" t="s">
        <v>32</v>
      </c>
      <c r="D387" s="2">
        <v>117.7</v>
      </c>
      <c r="E387" s="2">
        <v>0.02</v>
      </c>
      <c r="F387" s="2">
        <v>23.88</v>
      </c>
      <c r="G387" s="2">
        <v>0.17</v>
      </c>
      <c r="H387" s="2">
        <v>0.0</v>
      </c>
    </row>
    <row r="388" ht="14.25" customHeight="1">
      <c r="A388" s="2" t="s">
        <v>106</v>
      </c>
      <c r="B388" s="2" t="s">
        <v>23</v>
      </c>
      <c r="C388" s="2" t="s">
        <v>32</v>
      </c>
      <c r="D388" s="2">
        <v>37.45</v>
      </c>
      <c r="E388" s="2">
        <v>0.01</v>
      </c>
      <c r="F388" s="2">
        <v>7.6</v>
      </c>
      <c r="G388" s="2">
        <v>0.06</v>
      </c>
      <c r="H388" s="2">
        <v>0.0</v>
      </c>
    </row>
    <row r="389" ht="14.25" customHeight="1">
      <c r="A389" s="2" t="s">
        <v>106</v>
      </c>
      <c r="B389" s="2" t="s">
        <v>23</v>
      </c>
      <c r="C389" s="2" t="s">
        <v>26</v>
      </c>
      <c r="D389" s="2">
        <v>0.0</v>
      </c>
      <c r="E389" s="2">
        <v>0.0</v>
      </c>
      <c r="F389" s="2">
        <v>0.0</v>
      </c>
      <c r="G389" s="2">
        <v>0.0</v>
      </c>
      <c r="H389" s="2">
        <v>0.0</v>
      </c>
    </row>
    <row r="390" ht="14.25" customHeight="1">
      <c r="A390" s="2" t="s">
        <v>106</v>
      </c>
      <c r="B390" s="2" t="s">
        <v>23</v>
      </c>
      <c r="C390" s="2" t="s">
        <v>33</v>
      </c>
      <c r="D390" s="2">
        <v>0.0</v>
      </c>
      <c r="E390" s="2">
        <v>0.0</v>
      </c>
      <c r="F390" s="2">
        <v>0.0</v>
      </c>
      <c r="G390" s="2">
        <v>0.0</v>
      </c>
      <c r="H390" s="2">
        <v>0.0</v>
      </c>
    </row>
    <row r="391" ht="14.25" customHeight="1">
      <c r="A391" s="2" t="s">
        <v>106</v>
      </c>
      <c r="B391" s="2" t="s">
        <v>23</v>
      </c>
      <c r="C391" s="2" t="s">
        <v>33</v>
      </c>
      <c r="D391" s="2">
        <v>0.0</v>
      </c>
      <c r="E391" s="2">
        <v>0.0</v>
      </c>
      <c r="F391" s="2">
        <v>0.0</v>
      </c>
      <c r="G391" s="2">
        <v>0.0</v>
      </c>
      <c r="H391" s="2">
        <v>0.0</v>
      </c>
    </row>
    <row r="392" ht="14.25" customHeight="1">
      <c r="A392" s="2" t="s">
        <v>106</v>
      </c>
      <c r="B392" s="2" t="s">
        <v>23</v>
      </c>
      <c r="C392" s="2" t="s">
        <v>10</v>
      </c>
      <c r="D392" s="2">
        <v>264.53</v>
      </c>
      <c r="E392" s="2">
        <v>0.04</v>
      </c>
      <c r="F392" s="2">
        <v>53.67</v>
      </c>
      <c r="G392" s="2">
        <v>0.39</v>
      </c>
      <c r="H392" s="2">
        <v>0.0</v>
      </c>
    </row>
    <row r="393" ht="14.25" customHeight="1">
      <c r="A393" s="2" t="s">
        <v>106</v>
      </c>
      <c r="B393" s="2" t="s">
        <v>29</v>
      </c>
      <c r="C393" s="2" t="s">
        <v>34</v>
      </c>
      <c r="D393" s="2">
        <v>42.8</v>
      </c>
      <c r="E393" s="2">
        <v>0.01</v>
      </c>
      <c r="F393" s="2">
        <v>8.69</v>
      </c>
      <c r="G393" s="2">
        <v>0.06</v>
      </c>
      <c r="H393" s="2">
        <v>0.0</v>
      </c>
    </row>
    <row r="394" ht="14.25" customHeight="1">
      <c r="A394" s="2" t="s">
        <v>106</v>
      </c>
      <c r="B394" s="2" t="s">
        <v>29</v>
      </c>
      <c r="C394" s="2" t="s">
        <v>35</v>
      </c>
      <c r="D394" s="2">
        <v>0.0</v>
      </c>
      <c r="E394" s="2">
        <v>0.0</v>
      </c>
      <c r="F394" s="2">
        <v>0.0</v>
      </c>
      <c r="G394" s="2">
        <v>0.0</v>
      </c>
      <c r="H394" s="2">
        <v>0.0</v>
      </c>
    </row>
    <row r="395" ht="14.25" customHeight="1">
      <c r="A395" s="2" t="s">
        <v>106</v>
      </c>
      <c r="B395" s="2" t="s">
        <v>29</v>
      </c>
      <c r="C395" s="2" t="s">
        <v>35</v>
      </c>
      <c r="D395" s="2">
        <v>0.0</v>
      </c>
      <c r="E395" s="2">
        <v>0.0</v>
      </c>
      <c r="F395" s="2">
        <v>0.0</v>
      </c>
      <c r="G395" s="2">
        <v>0.0</v>
      </c>
      <c r="H395" s="2">
        <v>0.0</v>
      </c>
    </row>
    <row r="396" ht="14.25" customHeight="1">
      <c r="A396" s="2" t="s">
        <v>106</v>
      </c>
      <c r="B396" s="2" t="s">
        <v>29</v>
      </c>
      <c r="C396" s="2" t="s">
        <v>35</v>
      </c>
      <c r="D396" s="2">
        <v>0.0</v>
      </c>
      <c r="E396" s="2">
        <v>0.0</v>
      </c>
      <c r="F396" s="2">
        <v>0.0</v>
      </c>
      <c r="G396" s="2">
        <v>0.0</v>
      </c>
      <c r="H396" s="2">
        <v>0.0</v>
      </c>
    </row>
    <row r="397" ht="14.25" customHeight="1">
      <c r="A397" s="2" t="s">
        <v>106</v>
      </c>
      <c r="B397" s="2" t="s">
        <v>29</v>
      </c>
      <c r="C397" s="2" t="s">
        <v>36</v>
      </c>
      <c r="D397" s="2">
        <v>0.0</v>
      </c>
      <c r="E397" s="2">
        <v>0.0</v>
      </c>
      <c r="F397" s="2">
        <v>0.0</v>
      </c>
      <c r="G397" s="2">
        <v>0.0</v>
      </c>
      <c r="H397" s="2">
        <v>0.0</v>
      </c>
    </row>
    <row r="398" ht="14.25" customHeight="1">
      <c r="A398" s="2" t="s">
        <v>106</v>
      </c>
      <c r="B398" s="2" t="s">
        <v>29</v>
      </c>
      <c r="C398" s="2" t="s">
        <v>10</v>
      </c>
      <c r="D398" s="2">
        <v>42.8</v>
      </c>
      <c r="E398" s="2">
        <v>0.01</v>
      </c>
      <c r="F398" s="2">
        <v>8.69</v>
      </c>
      <c r="G398" s="2">
        <v>0.06</v>
      </c>
      <c r="H398" s="2">
        <v>0.0</v>
      </c>
    </row>
    <row r="399" ht="14.25" customHeight="1">
      <c r="A399" s="2" t="s">
        <v>106</v>
      </c>
      <c r="B399" s="2" t="s">
        <v>18</v>
      </c>
      <c r="C399" s="2" t="s">
        <v>10</v>
      </c>
      <c r="D399" s="2">
        <v>0.0</v>
      </c>
      <c r="E399" s="2">
        <v>0.0</v>
      </c>
      <c r="F399" s="2">
        <v>0.0</v>
      </c>
      <c r="G399" s="2">
        <v>0.0</v>
      </c>
      <c r="H399" s="2">
        <v>0.0</v>
      </c>
    </row>
    <row r="400" ht="14.25" customHeight="1">
      <c r="A400" s="2" t="s">
        <v>107</v>
      </c>
      <c r="B400" s="2" t="s">
        <v>21</v>
      </c>
      <c r="C400" s="2" t="s">
        <v>10</v>
      </c>
      <c r="D400" s="2">
        <v>0.0</v>
      </c>
      <c r="E400" s="2">
        <v>0.0</v>
      </c>
      <c r="F400" s="2">
        <v>0.0</v>
      </c>
      <c r="G400" s="2">
        <v>0.0</v>
      </c>
      <c r="H400" s="2">
        <v>0.0</v>
      </c>
    </row>
    <row r="401" ht="14.25" customHeight="1">
      <c r="A401" s="2" t="s">
        <v>107</v>
      </c>
      <c r="B401" s="2" t="s">
        <v>22</v>
      </c>
      <c r="C401" s="2" t="s">
        <v>10</v>
      </c>
      <c r="D401" s="2">
        <v>0.0</v>
      </c>
      <c r="E401" s="2">
        <v>0.0</v>
      </c>
      <c r="F401" s="2">
        <v>0.0</v>
      </c>
      <c r="G401" s="2">
        <v>0.0</v>
      </c>
      <c r="H401" s="2">
        <v>0.0</v>
      </c>
    </row>
    <row r="402" ht="14.25" customHeight="1">
      <c r="A402" s="2" t="s">
        <v>107</v>
      </c>
      <c r="B402" s="2" t="s">
        <v>70</v>
      </c>
      <c r="C402" s="2" t="s">
        <v>24</v>
      </c>
      <c r="D402" s="2">
        <v>2646.57</v>
      </c>
      <c r="E402" s="2">
        <v>0.37</v>
      </c>
      <c r="F402" s="2">
        <v>537.04</v>
      </c>
      <c r="G402" s="2">
        <v>3.92</v>
      </c>
      <c r="H402" s="2">
        <v>0.02</v>
      </c>
    </row>
    <row r="403" ht="14.25" customHeight="1">
      <c r="A403" s="2" t="s">
        <v>107</v>
      </c>
      <c r="B403" s="2" t="s">
        <v>70</v>
      </c>
      <c r="C403" s="2" t="s">
        <v>25</v>
      </c>
      <c r="D403" s="2">
        <v>927.37</v>
      </c>
      <c r="E403" s="2">
        <v>0.13</v>
      </c>
      <c r="F403" s="2">
        <v>188.18</v>
      </c>
      <c r="G403" s="2">
        <v>1.37</v>
      </c>
      <c r="H403" s="2">
        <v>0.01</v>
      </c>
    </row>
    <row r="404" ht="14.25" customHeight="1">
      <c r="A404" s="2" t="s">
        <v>107</v>
      </c>
      <c r="B404" s="2" t="s">
        <v>70</v>
      </c>
      <c r="C404" s="2" t="s">
        <v>32</v>
      </c>
      <c r="D404" s="2">
        <v>1917.16</v>
      </c>
      <c r="E404" s="2">
        <v>0.27</v>
      </c>
      <c r="F404" s="2">
        <v>389.03</v>
      </c>
      <c r="G404" s="2">
        <v>2.84</v>
      </c>
      <c r="H404" s="2">
        <v>0.02</v>
      </c>
    </row>
    <row r="405" ht="14.25" customHeight="1">
      <c r="A405" s="2" t="s">
        <v>107</v>
      </c>
      <c r="B405" s="2" t="s">
        <v>70</v>
      </c>
      <c r="C405" s="2" t="s">
        <v>26</v>
      </c>
      <c r="D405" s="2">
        <v>0.0</v>
      </c>
      <c r="E405" s="2">
        <v>0.0</v>
      </c>
      <c r="F405" s="2">
        <v>0.0</v>
      </c>
      <c r="G405" s="2">
        <v>0.0</v>
      </c>
      <c r="H405" s="2">
        <v>0.0</v>
      </c>
    </row>
    <row r="406" ht="14.25" customHeight="1">
      <c r="A406" s="2" t="s">
        <v>107</v>
      </c>
      <c r="B406" s="2" t="s">
        <v>70</v>
      </c>
      <c r="C406" s="2" t="s">
        <v>46</v>
      </c>
      <c r="D406" s="2">
        <v>0.0</v>
      </c>
      <c r="E406" s="2">
        <v>0.0</v>
      </c>
      <c r="F406" s="2">
        <v>0.0</v>
      </c>
      <c r="G406" s="2">
        <v>0.0</v>
      </c>
      <c r="H406" s="2">
        <v>0.0</v>
      </c>
    </row>
    <row r="407" ht="14.25" customHeight="1">
      <c r="A407" s="2" t="s">
        <v>107</v>
      </c>
      <c r="B407" s="2" t="s">
        <v>70</v>
      </c>
      <c r="C407" s="2" t="s">
        <v>33</v>
      </c>
      <c r="D407" s="2">
        <v>0.0</v>
      </c>
      <c r="E407" s="2">
        <v>0.0</v>
      </c>
      <c r="F407" s="2">
        <v>0.0</v>
      </c>
      <c r="G407" s="2">
        <v>0.0</v>
      </c>
      <c r="H407" s="2">
        <v>0.0</v>
      </c>
    </row>
    <row r="408" ht="14.25" customHeight="1">
      <c r="A408" s="2" t="s">
        <v>107</v>
      </c>
      <c r="B408" s="2" t="s">
        <v>70</v>
      </c>
      <c r="C408" s="2" t="s">
        <v>33</v>
      </c>
      <c r="D408" s="2">
        <v>0.0</v>
      </c>
      <c r="E408" s="2">
        <v>0.0</v>
      </c>
      <c r="F408" s="2">
        <v>0.0</v>
      </c>
      <c r="G408" s="2">
        <v>0.0</v>
      </c>
      <c r="H408" s="2">
        <v>0.0</v>
      </c>
    </row>
    <row r="409" ht="14.25" customHeight="1">
      <c r="A409" s="2" t="s">
        <v>107</v>
      </c>
      <c r="B409" s="2" t="s">
        <v>70</v>
      </c>
      <c r="C409" s="2" t="s">
        <v>33</v>
      </c>
      <c r="D409" s="2">
        <v>0.0</v>
      </c>
      <c r="E409" s="2">
        <v>0.0</v>
      </c>
      <c r="F409" s="2">
        <v>0.0</v>
      </c>
      <c r="G409" s="2">
        <v>0.0</v>
      </c>
      <c r="H409" s="2">
        <v>0.0</v>
      </c>
    </row>
    <row r="410" ht="14.25" customHeight="1">
      <c r="A410" s="2" t="s">
        <v>107</v>
      </c>
      <c r="B410" s="2" t="s">
        <v>70</v>
      </c>
      <c r="C410" s="2" t="s">
        <v>33</v>
      </c>
      <c r="D410" s="2">
        <v>0.0</v>
      </c>
      <c r="E410" s="2">
        <v>0.0</v>
      </c>
      <c r="F410" s="2">
        <v>0.0</v>
      </c>
      <c r="G410" s="2">
        <v>0.0</v>
      </c>
      <c r="H410" s="2">
        <v>0.0</v>
      </c>
    </row>
    <row r="411" ht="14.25" customHeight="1">
      <c r="A411" s="2" t="s">
        <v>107</v>
      </c>
      <c r="B411" s="2" t="s">
        <v>70</v>
      </c>
      <c r="C411" s="2" t="s">
        <v>33</v>
      </c>
      <c r="D411" s="2">
        <v>0.0</v>
      </c>
      <c r="E411" s="2">
        <v>0.0</v>
      </c>
      <c r="F411" s="2">
        <v>0.0</v>
      </c>
      <c r="G411" s="2">
        <v>0.0</v>
      </c>
      <c r="H411" s="2">
        <v>0.0</v>
      </c>
    </row>
    <row r="412" ht="14.25" customHeight="1">
      <c r="A412" s="2" t="s">
        <v>107</v>
      </c>
      <c r="B412" s="2" t="s">
        <v>70</v>
      </c>
      <c r="C412" s="2" t="s">
        <v>10</v>
      </c>
      <c r="D412" s="2">
        <v>5491.1</v>
      </c>
      <c r="E412" s="2">
        <v>0.77</v>
      </c>
      <c r="F412" s="2">
        <v>1114.25</v>
      </c>
      <c r="G412" s="2">
        <v>8.13</v>
      </c>
      <c r="H412" s="2">
        <v>0.05</v>
      </c>
    </row>
    <row r="413" ht="14.25" customHeight="1">
      <c r="A413" s="2" t="s">
        <v>107</v>
      </c>
      <c r="B413" s="2" t="s">
        <v>71</v>
      </c>
      <c r="C413" s="2" t="s">
        <v>34</v>
      </c>
      <c r="D413" s="2">
        <v>28.53</v>
      </c>
      <c r="E413" s="2">
        <v>0.0</v>
      </c>
      <c r="F413" s="2">
        <v>5.79</v>
      </c>
      <c r="G413" s="2">
        <v>0.04</v>
      </c>
      <c r="H413" s="2">
        <v>0.0</v>
      </c>
    </row>
    <row r="414" ht="14.25" customHeight="1">
      <c r="A414" s="2" t="s">
        <v>107</v>
      </c>
      <c r="B414" s="2" t="s">
        <v>71</v>
      </c>
      <c r="C414" s="2" t="s">
        <v>34</v>
      </c>
      <c r="D414" s="2">
        <v>4.76</v>
      </c>
      <c r="E414" s="2">
        <v>0.0</v>
      </c>
      <c r="F414" s="2">
        <v>0.97</v>
      </c>
      <c r="G414" s="2">
        <v>0.01</v>
      </c>
      <c r="H414" s="2">
        <v>0.0</v>
      </c>
    </row>
    <row r="415" ht="14.25" customHeight="1">
      <c r="A415" s="2" t="s">
        <v>107</v>
      </c>
      <c r="B415" s="2" t="s">
        <v>71</v>
      </c>
      <c r="C415" s="2" t="s">
        <v>34</v>
      </c>
      <c r="D415" s="2">
        <v>11.89</v>
      </c>
      <c r="E415" s="2">
        <v>0.0</v>
      </c>
      <c r="F415" s="2">
        <v>2.41</v>
      </c>
      <c r="G415" s="2">
        <v>0.02</v>
      </c>
      <c r="H415" s="2">
        <v>0.0</v>
      </c>
    </row>
    <row r="416" ht="14.25" customHeight="1">
      <c r="A416" s="2" t="s">
        <v>107</v>
      </c>
      <c r="B416" s="2" t="s">
        <v>71</v>
      </c>
      <c r="C416" s="2" t="s">
        <v>35</v>
      </c>
      <c r="D416" s="2">
        <v>40.42</v>
      </c>
      <c r="E416" s="2">
        <v>0.01</v>
      </c>
      <c r="F416" s="2">
        <v>8.2</v>
      </c>
      <c r="G416" s="2">
        <v>0.06</v>
      </c>
      <c r="H416" s="2">
        <v>0.0</v>
      </c>
    </row>
    <row r="417" ht="14.25" customHeight="1">
      <c r="A417" s="2" t="s">
        <v>107</v>
      </c>
      <c r="B417" s="2" t="s">
        <v>71</v>
      </c>
      <c r="C417" s="2" t="s">
        <v>36</v>
      </c>
      <c r="D417" s="2">
        <v>0.0</v>
      </c>
      <c r="E417" s="2">
        <v>0.0</v>
      </c>
      <c r="F417" s="2">
        <v>0.0</v>
      </c>
      <c r="G417" s="2">
        <v>0.0</v>
      </c>
      <c r="H417" s="2">
        <v>0.0</v>
      </c>
    </row>
    <row r="418" ht="14.25" customHeight="1">
      <c r="A418" s="2" t="s">
        <v>107</v>
      </c>
      <c r="B418" s="2" t="s">
        <v>71</v>
      </c>
      <c r="C418" s="2" t="s">
        <v>10</v>
      </c>
      <c r="D418" s="2">
        <v>85.6</v>
      </c>
      <c r="E418" s="2">
        <v>0.01</v>
      </c>
      <c r="F418" s="2">
        <v>17.37</v>
      </c>
      <c r="G418" s="2">
        <v>0.13</v>
      </c>
      <c r="H418" s="2">
        <v>0.0</v>
      </c>
    </row>
    <row r="419" ht="14.25" customHeight="1">
      <c r="A419" s="2" t="s">
        <v>107</v>
      </c>
      <c r="B419" s="2" t="s">
        <v>18</v>
      </c>
      <c r="C419" s="2" t="s">
        <v>82</v>
      </c>
      <c r="D419" s="2">
        <v>0.0</v>
      </c>
      <c r="E419" s="2">
        <v>0.0</v>
      </c>
      <c r="F419" s="2">
        <v>0.0</v>
      </c>
      <c r="G419" s="2">
        <v>0.0</v>
      </c>
      <c r="H419" s="2">
        <v>0.0</v>
      </c>
    </row>
    <row r="420" ht="14.25" customHeight="1">
      <c r="A420" s="2" t="s">
        <v>107</v>
      </c>
      <c r="B420" s="2" t="s">
        <v>18</v>
      </c>
      <c r="C420" s="2" t="s">
        <v>10</v>
      </c>
      <c r="D420" s="2">
        <v>0.0</v>
      </c>
      <c r="E420" s="2">
        <v>0.0</v>
      </c>
      <c r="F420" s="2">
        <v>0.0</v>
      </c>
      <c r="G420" s="2">
        <v>0.0</v>
      </c>
      <c r="H420" s="2">
        <v>0.0</v>
      </c>
    </row>
    <row r="421" ht="14.25" customHeight="1">
      <c r="A421" s="2" t="s">
        <v>108</v>
      </c>
      <c r="B421" s="2" t="s">
        <v>9</v>
      </c>
      <c r="C421" s="2" t="s">
        <v>10</v>
      </c>
      <c r="D421" s="2">
        <v>0.0</v>
      </c>
      <c r="E421" s="2">
        <v>0.0</v>
      </c>
      <c r="F421" s="2">
        <v>0.0</v>
      </c>
      <c r="G421" s="2">
        <v>0.0</v>
      </c>
      <c r="H421" s="2">
        <v>0.0</v>
      </c>
    </row>
    <row r="422" ht="14.25" customHeight="1">
      <c r="A422" s="2" t="s">
        <v>108</v>
      </c>
      <c r="B422" s="2" t="s">
        <v>11</v>
      </c>
      <c r="C422" s="2" t="s">
        <v>12</v>
      </c>
      <c r="D422" s="2">
        <v>13.74</v>
      </c>
      <c r="E422" s="2">
        <v>0.0</v>
      </c>
      <c r="F422" s="2">
        <v>6.4</v>
      </c>
      <c r="G422" s="2">
        <v>0.01</v>
      </c>
      <c r="H422" s="2">
        <v>0.01</v>
      </c>
    </row>
    <row r="423" ht="14.25" customHeight="1">
      <c r="A423" s="2" t="s">
        <v>108</v>
      </c>
      <c r="B423" s="2" t="s">
        <v>11</v>
      </c>
      <c r="C423" s="2" t="s">
        <v>12</v>
      </c>
      <c r="D423" s="2">
        <v>8.48</v>
      </c>
      <c r="E423" s="2">
        <v>0.0</v>
      </c>
      <c r="F423" s="2">
        <v>3.95</v>
      </c>
      <c r="G423" s="2">
        <v>0.0</v>
      </c>
      <c r="H423" s="2">
        <v>0.01</v>
      </c>
    </row>
    <row r="424" ht="14.25" customHeight="1">
      <c r="A424" s="2" t="s">
        <v>108</v>
      </c>
      <c r="B424" s="2" t="s">
        <v>11</v>
      </c>
      <c r="C424" s="2" t="s">
        <v>12</v>
      </c>
      <c r="D424" s="2">
        <v>5.01</v>
      </c>
      <c r="E424" s="2">
        <v>0.0</v>
      </c>
      <c r="F424" s="2">
        <v>2.33</v>
      </c>
      <c r="G424" s="2">
        <v>0.0</v>
      </c>
      <c r="H424" s="2">
        <v>0.01</v>
      </c>
    </row>
    <row r="425" ht="14.25" customHeight="1">
      <c r="A425" s="2" t="s">
        <v>108</v>
      </c>
      <c r="B425" s="2" t="s">
        <v>11</v>
      </c>
      <c r="C425" s="2" t="s">
        <v>13</v>
      </c>
      <c r="D425" s="2">
        <v>15.58</v>
      </c>
      <c r="E425" s="2">
        <v>0.0</v>
      </c>
      <c r="F425" s="2">
        <v>7.26</v>
      </c>
      <c r="G425" s="2">
        <v>0.01</v>
      </c>
      <c r="H425" s="2">
        <v>0.02</v>
      </c>
    </row>
    <row r="426" ht="14.25" customHeight="1">
      <c r="A426" s="2" t="s">
        <v>108</v>
      </c>
      <c r="B426" s="2" t="s">
        <v>11</v>
      </c>
      <c r="C426" s="2" t="s">
        <v>14</v>
      </c>
      <c r="D426" s="2">
        <v>2.37</v>
      </c>
      <c r="E426" s="2">
        <v>0.0</v>
      </c>
      <c r="F426" s="2">
        <v>1.1</v>
      </c>
      <c r="G426" s="2">
        <v>0.0</v>
      </c>
      <c r="H426" s="2">
        <v>0.0</v>
      </c>
    </row>
    <row r="427" ht="14.25" customHeight="1">
      <c r="A427" s="2" t="s">
        <v>108</v>
      </c>
      <c r="B427" s="2" t="s">
        <v>11</v>
      </c>
      <c r="C427" s="2" t="s">
        <v>15</v>
      </c>
      <c r="D427" s="2">
        <v>1.35</v>
      </c>
      <c r="E427" s="2">
        <v>0.0</v>
      </c>
      <c r="F427" s="2">
        <v>0.63</v>
      </c>
      <c r="G427" s="2">
        <v>0.0</v>
      </c>
      <c r="H427" s="2">
        <v>0.0</v>
      </c>
    </row>
    <row r="428" ht="14.25" customHeight="1">
      <c r="A428" s="2" t="s">
        <v>108</v>
      </c>
      <c r="B428" s="2" t="s">
        <v>11</v>
      </c>
      <c r="C428" s="2" t="s">
        <v>12</v>
      </c>
      <c r="D428" s="2">
        <v>0.0</v>
      </c>
      <c r="E428" s="2">
        <v>0.0</v>
      </c>
      <c r="F428" s="2">
        <v>0.0</v>
      </c>
      <c r="G428" s="2">
        <v>0.0</v>
      </c>
      <c r="H428" s="2">
        <v>0.0</v>
      </c>
    </row>
    <row r="429" ht="14.25" customHeight="1">
      <c r="A429" s="2" t="s">
        <v>108</v>
      </c>
      <c r="B429" s="2" t="s">
        <v>11</v>
      </c>
      <c r="C429" s="2" t="s">
        <v>16</v>
      </c>
      <c r="D429" s="2">
        <v>6.19</v>
      </c>
      <c r="E429" s="2">
        <v>0.0</v>
      </c>
      <c r="F429" s="2">
        <v>2.88</v>
      </c>
      <c r="G429" s="2">
        <v>0.0</v>
      </c>
      <c r="H429" s="2">
        <v>0.01</v>
      </c>
    </row>
    <row r="430" ht="14.25" customHeight="1">
      <c r="A430" s="2" t="s">
        <v>108</v>
      </c>
      <c r="B430" s="2" t="s">
        <v>11</v>
      </c>
      <c r="C430" s="2" t="s">
        <v>17</v>
      </c>
      <c r="D430" s="2">
        <v>0.0</v>
      </c>
      <c r="E430" s="2">
        <v>0.0</v>
      </c>
      <c r="F430" s="2">
        <v>0.0</v>
      </c>
      <c r="G430" s="2">
        <v>0.0</v>
      </c>
      <c r="H430" s="2">
        <v>0.0</v>
      </c>
    </row>
    <row r="431" ht="14.25" customHeight="1">
      <c r="A431" s="2" t="s">
        <v>108</v>
      </c>
      <c r="B431" s="2" t="s">
        <v>11</v>
      </c>
      <c r="C431" s="2" t="s">
        <v>10</v>
      </c>
      <c r="D431" s="2">
        <v>52.72</v>
      </c>
      <c r="E431" s="2">
        <v>0.0</v>
      </c>
      <c r="F431" s="2">
        <v>24.55</v>
      </c>
      <c r="G431" s="2">
        <v>0.02</v>
      </c>
      <c r="H431" s="2">
        <v>0.06</v>
      </c>
    </row>
    <row r="432" ht="14.25" customHeight="1">
      <c r="A432" s="2" t="s">
        <v>108</v>
      </c>
      <c r="B432" s="2" t="s">
        <v>18</v>
      </c>
      <c r="C432" s="2" t="s">
        <v>10</v>
      </c>
      <c r="D432" s="2">
        <v>0.0</v>
      </c>
      <c r="E432" s="2">
        <v>0.0</v>
      </c>
      <c r="F432" s="2">
        <v>0.0</v>
      </c>
      <c r="G432" s="2">
        <v>0.0</v>
      </c>
      <c r="H432" s="2">
        <v>0.0</v>
      </c>
    </row>
    <row r="433" ht="14.25" customHeight="1">
      <c r="A433" s="2" t="s">
        <v>109</v>
      </c>
      <c r="B433" s="2" t="s">
        <v>80</v>
      </c>
      <c r="C433" s="2" t="s">
        <v>81</v>
      </c>
      <c r="D433" s="2">
        <v>7.7</v>
      </c>
      <c r="E433" s="2">
        <v>0.0</v>
      </c>
      <c r="F433" s="2">
        <v>3.58</v>
      </c>
      <c r="G433" s="2">
        <v>0.0</v>
      </c>
      <c r="H433" s="2">
        <v>0.01</v>
      </c>
    </row>
    <row r="434" ht="14.25" customHeight="1">
      <c r="A434" s="2" t="s">
        <v>109</v>
      </c>
      <c r="B434" s="2" t="s">
        <v>80</v>
      </c>
      <c r="C434" s="2" t="s">
        <v>81</v>
      </c>
      <c r="D434" s="2">
        <v>0.55</v>
      </c>
      <c r="E434" s="2">
        <v>0.0</v>
      </c>
      <c r="F434" s="2">
        <v>0.26</v>
      </c>
      <c r="G434" s="2">
        <v>0.0</v>
      </c>
      <c r="H434" s="2">
        <v>0.0</v>
      </c>
    </row>
    <row r="435" ht="14.25" customHeight="1">
      <c r="A435" s="2" t="s">
        <v>109</v>
      </c>
      <c r="B435" s="2" t="s">
        <v>80</v>
      </c>
      <c r="C435" s="2" t="s">
        <v>81</v>
      </c>
      <c r="D435" s="2">
        <v>0.0</v>
      </c>
      <c r="E435" s="2">
        <v>0.0</v>
      </c>
      <c r="F435" s="2">
        <v>0.0</v>
      </c>
      <c r="G435" s="2">
        <v>0.0</v>
      </c>
      <c r="H435" s="2">
        <v>0.0</v>
      </c>
    </row>
    <row r="436" ht="14.25" customHeight="1">
      <c r="A436" s="2" t="s">
        <v>109</v>
      </c>
      <c r="B436" s="2" t="s">
        <v>80</v>
      </c>
      <c r="C436" s="2" t="s">
        <v>16</v>
      </c>
      <c r="D436" s="2">
        <v>4.76</v>
      </c>
      <c r="E436" s="2">
        <v>0.0</v>
      </c>
      <c r="F436" s="2">
        <v>2.22</v>
      </c>
      <c r="G436" s="2">
        <v>0.0</v>
      </c>
      <c r="H436" s="2">
        <v>0.01</v>
      </c>
    </row>
    <row r="437" ht="14.25" customHeight="1">
      <c r="A437" s="2" t="s">
        <v>109</v>
      </c>
      <c r="B437" s="2" t="s">
        <v>80</v>
      </c>
      <c r="C437" s="2" t="s">
        <v>17</v>
      </c>
      <c r="D437" s="2">
        <v>0.0</v>
      </c>
      <c r="E437" s="2">
        <v>0.0</v>
      </c>
      <c r="F437" s="2">
        <v>0.0</v>
      </c>
      <c r="G437" s="2">
        <v>0.0</v>
      </c>
      <c r="H437" s="2">
        <v>0.0</v>
      </c>
    </row>
    <row r="438" ht="14.25" customHeight="1">
      <c r="A438" s="2" t="s">
        <v>109</v>
      </c>
      <c r="B438" s="2" t="s">
        <v>80</v>
      </c>
      <c r="C438" s="2" t="s">
        <v>10</v>
      </c>
      <c r="D438" s="2">
        <v>13.01</v>
      </c>
      <c r="E438" s="2">
        <v>0.0</v>
      </c>
      <c r="F438" s="2">
        <v>6.06</v>
      </c>
      <c r="G438" s="2">
        <v>0.0</v>
      </c>
      <c r="H438" s="2">
        <v>0.02</v>
      </c>
    </row>
    <row r="439" ht="14.25" customHeight="1">
      <c r="A439" s="2" t="s">
        <v>109</v>
      </c>
      <c r="B439" s="2" t="s">
        <v>18</v>
      </c>
      <c r="C439" s="2" t="s">
        <v>110</v>
      </c>
      <c r="D439" s="2">
        <v>0.0</v>
      </c>
      <c r="E439" s="2">
        <v>0.0</v>
      </c>
      <c r="F439" s="2">
        <v>0.0</v>
      </c>
      <c r="G439" s="2">
        <v>0.0</v>
      </c>
      <c r="H439" s="2">
        <v>0.0</v>
      </c>
    </row>
    <row r="440" ht="14.25" customHeight="1">
      <c r="A440" s="2" t="s">
        <v>109</v>
      </c>
      <c r="B440" s="2" t="s">
        <v>18</v>
      </c>
      <c r="C440" s="2" t="s">
        <v>82</v>
      </c>
      <c r="D440" s="2">
        <v>0.0</v>
      </c>
      <c r="E440" s="2">
        <v>0.0</v>
      </c>
      <c r="F440" s="2">
        <v>0.0</v>
      </c>
      <c r="G440" s="2">
        <v>0.0</v>
      </c>
      <c r="H440" s="2">
        <v>0.0</v>
      </c>
    </row>
    <row r="441" ht="14.25" customHeight="1">
      <c r="A441" s="2" t="s">
        <v>109</v>
      </c>
      <c r="B441" s="2" t="s">
        <v>18</v>
      </c>
      <c r="C441" s="2" t="s">
        <v>10</v>
      </c>
      <c r="D441" s="2">
        <v>0.0</v>
      </c>
      <c r="E441" s="2">
        <v>0.0</v>
      </c>
      <c r="F441" s="2">
        <v>0.0</v>
      </c>
      <c r="G441" s="2">
        <v>0.0</v>
      </c>
      <c r="H441" s="2">
        <v>0.0</v>
      </c>
    </row>
    <row r="442" ht="14.25" customHeight="1">
      <c r="A442" s="2" t="s">
        <v>111</v>
      </c>
      <c r="B442" s="2" t="s">
        <v>21</v>
      </c>
      <c r="C442" s="2" t="s">
        <v>10</v>
      </c>
      <c r="D442" s="2">
        <v>0.0</v>
      </c>
      <c r="E442" s="2">
        <v>0.0</v>
      </c>
      <c r="F442" s="2">
        <v>0.0</v>
      </c>
      <c r="G442" s="2">
        <v>0.0</v>
      </c>
      <c r="H442" s="2">
        <v>0.0</v>
      </c>
    </row>
    <row r="443" ht="14.25" customHeight="1">
      <c r="A443" s="2" t="s">
        <v>111</v>
      </c>
      <c r="B443" s="2" t="s">
        <v>22</v>
      </c>
      <c r="C443" s="2" t="s">
        <v>10</v>
      </c>
      <c r="D443" s="2">
        <v>0.0</v>
      </c>
      <c r="E443" s="2">
        <v>0.0</v>
      </c>
      <c r="F443" s="2">
        <v>0.0</v>
      </c>
      <c r="G443" s="2">
        <v>0.0</v>
      </c>
      <c r="H443" s="2">
        <v>0.0</v>
      </c>
    </row>
    <row r="444" ht="14.25" customHeight="1">
      <c r="A444" s="2" t="s">
        <v>111</v>
      </c>
      <c r="B444" s="2" t="s">
        <v>23</v>
      </c>
      <c r="C444" s="2" t="s">
        <v>24</v>
      </c>
      <c r="D444" s="2">
        <v>0.0</v>
      </c>
      <c r="E444" s="2">
        <v>0.0</v>
      </c>
      <c r="F444" s="2">
        <v>0.0</v>
      </c>
      <c r="G444" s="2">
        <v>0.0</v>
      </c>
      <c r="H444" s="2">
        <v>0.0</v>
      </c>
    </row>
    <row r="445" ht="14.25" customHeight="1">
      <c r="A445" s="2" t="s">
        <v>111</v>
      </c>
      <c r="B445" s="2" t="s">
        <v>23</v>
      </c>
      <c r="C445" s="2" t="s">
        <v>25</v>
      </c>
      <c r="D445" s="2">
        <v>0.0</v>
      </c>
      <c r="E445" s="2">
        <v>0.0</v>
      </c>
      <c r="F445" s="2">
        <v>0.0</v>
      </c>
      <c r="G445" s="2">
        <v>0.0</v>
      </c>
      <c r="H445" s="2">
        <v>0.0</v>
      </c>
    </row>
    <row r="446" ht="14.25" customHeight="1">
      <c r="A446" s="2" t="s">
        <v>111</v>
      </c>
      <c r="B446" s="2" t="s">
        <v>23</v>
      </c>
      <c r="C446" s="2" t="s">
        <v>25</v>
      </c>
      <c r="D446" s="2">
        <v>0.0</v>
      </c>
      <c r="E446" s="2">
        <v>0.0</v>
      </c>
      <c r="F446" s="2">
        <v>0.0</v>
      </c>
      <c r="G446" s="2">
        <v>0.0</v>
      </c>
      <c r="H446" s="2">
        <v>0.0</v>
      </c>
    </row>
    <row r="447" ht="14.25" customHeight="1">
      <c r="A447" s="2" t="s">
        <v>111</v>
      </c>
      <c r="B447" s="2" t="s">
        <v>23</v>
      </c>
      <c r="C447" s="2" t="s">
        <v>31</v>
      </c>
      <c r="D447" s="2">
        <v>0.0</v>
      </c>
      <c r="E447" s="2">
        <v>0.0</v>
      </c>
      <c r="F447" s="2">
        <v>0.0</v>
      </c>
      <c r="G447" s="2">
        <v>0.0</v>
      </c>
      <c r="H447" s="2">
        <v>0.0</v>
      </c>
    </row>
    <row r="448" ht="14.25" customHeight="1">
      <c r="A448" s="2" t="s">
        <v>111</v>
      </c>
      <c r="B448" s="2" t="s">
        <v>23</v>
      </c>
      <c r="C448" s="2" t="s">
        <v>31</v>
      </c>
      <c r="D448" s="2">
        <v>0.0</v>
      </c>
      <c r="E448" s="2">
        <v>0.0</v>
      </c>
      <c r="F448" s="2">
        <v>0.0</v>
      </c>
      <c r="G448" s="2">
        <v>0.0</v>
      </c>
      <c r="H448" s="2">
        <v>0.0</v>
      </c>
    </row>
    <row r="449" ht="14.25" customHeight="1">
      <c r="A449" s="2" t="s">
        <v>111</v>
      </c>
      <c r="B449" s="2" t="s">
        <v>23</v>
      </c>
      <c r="C449" s="2" t="s">
        <v>32</v>
      </c>
      <c r="D449" s="2">
        <v>105.04</v>
      </c>
      <c r="E449" s="2">
        <v>0.0</v>
      </c>
      <c r="F449" s="2">
        <v>21.28</v>
      </c>
      <c r="G449" s="2">
        <v>0.16</v>
      </c>
      <c r="H449" s="2">
        <v>0.0</v>
      </c>
    </row>
    <row r="450" ht="14.25" customHeight="1">
      <c r="A450" s="2" t="s">
        <v>111</v>
      </c>
      <c r="B450" s="2" t="s">
        <v>23</v>
      </c>
      <c r="C450" s="2" t="s">
        <v>26</v>
      </c>
      <c r="D450" s="2">
        <v>0.0</v>
      </c>
      <c r="E450" s="2">
        <v>0.0</v>
      </c>
      <c r="F450" s="2">
        <v>0.0</v>
      </c>
      <c r="G450" s="2">
        <v>0.0</v>
      </c>
      <c r="H450" s="2">
        <v>0.0</v>
      </c>
    </row>
    <row r="451" ht="14.25" customHeight="1">
      <c r="A451" s="2" t="s">
        <v>111</v>
      </c>
      <c r="B451" s="2" t="s">
        <v>23</v>
      </c>
      <c r="C451" s="2" t="s">
        <v>10</v>
      </c>
      <c r="D451" s="2">
        <v>105.04</v>
      </c>
      <c r="E451" s="2">
        <v>0.0</v>
      </c>
      <c r="F451" s="2">
        <v>21.28</v>
      </c>
      <c r="G451" s="2">
        <v>0.16</v>
      </c>
      <c r="H451" s="2">
        <v>0.0</v>
      </c>
    </row>
    <row r="452" ht="14.25" customHeight="1">
      <c r="A452" s="2" t="s">
        <v>111</v>
      </c>
      <c r="B452" s="2" t="s">
        <v>29</v>
      </c>
      <c r="C452" s="2" t="s">
        <v>10</v>
      </c>
      <c r="D452" s="2">
        <v>0.0</v>
      </c>
      <c r="E452" s="2">
        <v>0.0</v>
      </c>
      <c r="F452" s="2">
        <v>0.0</v>
      </c>
      <c r="G452" s="2">
        <v>0.0</v>
      </c>
      <c r="H452" s="2">
        <v>0.0</v>
      </c>
    </row>
    <row r="453" ht="14.25" customHeight="1">
      <c r="A453" s="2" t="s">
        <v>111</v>
      </c>
      <c r="B453" s="2" t="s">
        <v>18</v>
      </c>
      <c r="C453" s="2" t="s">
        <v>10</v>
      </c>
      <c r="D453" s="2">
        <v>0.0</v>
      </c>
      <c r="E453" s="2">
        <v>0.0</v>
      </c>
      <c r="F453" s="2">
        <v>0.0</v>
      </c>
      <c r="G453" s="2">
        <v>0.0</v>
      </c>
      <c r="H453" s="2">
        <v>0.0</v>
      </c>
    </row>
    <row r="454" ht="14.25" customHeight="1">
      <c r="A454" s="2" t="s">
        <v>112</v>
      </c>
      <c r="B454" s="2" t="s">
        <v>21</v>
      </c>
      <c r="C454" s="2" t="s">
        <v>42</v>
      </c>
      <c r="D454" s="2">
        <v>0.0</v>
      </c>
      <c r="E454" s="2">
        <v>0.0</v>
      </c>
      <c r="F454" s="2">
        <v>0.0</v>
      </c>
      <c r="G454" s="2">
        <v>0.0</v>
      </c>
      <c r="H454" s="2">
        <v>0.0</v>
      </c>
    </row>
    <row r="455" ht="14.25" customHeight="1">
      <c r="A455" s="2" t="s">
        <v>112</v>
      </c>
      <c r="B455" s="2" t="s">
        <v>21</v>
      </c>
      <c r="C455" s="2" t="s">
        <v>41</v>
      </c>
      <c r="D455" s="2">
        <v>0.0</v>
      </c>
      <c r="E455" s="2">
        <v>0.0</v>
      </c>
      <c r="F455" s="2">
        <v>0.0</v>
      </c>
      <c r="G455" s="2">
        <v>0.0</v>
      </c>
      <c r="H455" s="2">
        <v>0.0</v>
      </c>
    </row>
    <row r="456" ht="14.25" customHeight="1">
      <c r="A456" s="2" t="s">
        <v>112</v>
      </c>
      <c r="B456" s="2" t="s">
        <v>21</v>
      </c>
      <c r="C456" s="2" t="s">
        <v>43</v>
      </c>
      <c r="D456" s="2">
        <v>0.0</v>
      </c>
      <c r="E456" s="2">
        <v>0.0</v>
      </c>
      <c r="F456" s="2">
        <v>0.0</v>
      </c>
      <c r="G456" s="2">
        <v>0.0</v>
      </c>
      <c r="H456" s="2">
        <v>0.0</v>
      </c>
    </row>
    <row r="457" ht="14.25" customHeight="1">
      <c r="A457" s="2" t="s">
        <v>112</v>
      </c>
      <c r="B457" s="2" t="s">
        <v>21</v>
      </c>
      <c r="C457" s="2" t="s">
        <v>59</v>
      </c>
      <c r="D457" s="2">
        <v>0.0</v>
      </c>
      <c r="E457" s="2">
        <v>0.0</v>
      </c>
      <c r="F457" s="2">
        <v>0.0</v>
      </c>
      <c r="G457" s="2">
        <v>0.0</v>
      </c>
      <c r="H457" s="2">
        <v>0.0</v>
      </c>
    </row>
    <row r="458" ht="14.25" customHeight="1">
      <c r="A458" s="2" t="s">
        <v>112</v>
      </c>
      <c r="B458" s="2" t="s">
        <v>21</v>
      </c>
      <c r="C458" s="2" t="s">
        <v>10</v>
      </c>
      <c r="D458" s="2">
        <v>0.0</v>
      </c>
      <c r="E458" s="2">
        <v>0.0</v>
      </c>
      <c r="F458" s="2">
        <v>0.0</v>
      </c>
      <c r="G458" s="2">
        <v>0.0</v>
      </c>
      <c r="H458" s="2">
        <v>0.0</v>
      </c>
    </row>
    <row r="459" ht="14.25" customHeight="1">
      <c r="A459" s="2" t="s">
        <v>112</v>
      </c>
      <c r="B459" s="2" t="s">
        <v>22</v>
      </c>
      <c r="C459" s="2" t="s">
        <v>60</v>
      </c>
      <c r="D459" s="2">
        <v>0.0</v>
      </c>
      <c r="E459" s="2">
        <v>0.0</v>
      </c>
      <c r="F459" s="2">
        <v>0.0</v>
      </c>
      <c r="G459" s="2">
        <v>0.0</v>
      </c>
      <c r="H459" s="2">
        <v>0.0</v>
      </c>
    </row>
    <row r="460" ht="14.25" customHeight="1">
      <c r="A460" s="2" t="s">
        <v>112</v>
      </c>
      <c r="B460" s="2" t="s">
        <v>22</v>
      </c>
      <c r="C460" s="2" t="s">
        <v>10</v>
      </c>
      <c r="D460" s="2">
        <v>0.0</v>
      </c>
      <c r="E460" s="2">
        <v>0.0</v>
      </c>
      <c r="F460" s="2">
        <v>0.0</v>
      </c>
      <c r="G460" s="2">
        <v>0.0</v>
      </c>
      <c r="H460" s="2">
        <v>0.0</v>
      </c>
    </row>
    <row r="461" ht="14.25" customHeight="1">
      <c r="A461" s="2" t="s">
        <v>112</v>
      </c>
      <c r="B461" s="2" t="s">
        <v>23</v>
      </c>
      <c r="C461" s="2" t="s">
        <v>24</v>
      </c>
      <c r="D461" s="2">
        <v>22.47</v>
      </c>
      <c r="E461" s="2">
        <v>0.0</v>
      </c>
      <c r="F461" s="2">
        <v>4.56</v>
      </c>
      <c r="G461" s="2">
        <v>0.03</v>
      </c>
      <c r="H461" s="2">
        <v>0.0</v>
      </c>
    </row>
    <row r="462" ht="14.25" customHeight="1">
      <c r="A462" s="2" t="s">
        <v>112</v>
      </c>
      <c r="B462" s="2" t="s">
        <v>23</v>
      </c>
      <c r="C462" s="2" t="s">
        <v>24</v>
      </c>
      <c r="D462" s="2">
        <v>453.22</v>
      </c>
      <c r="E462" s="2">
        <v>0.06</v>
      </c>
      <c r="F462" s="2">
        <v>91.97</v>
      </c>
      <c r="G462" s="2">
        <v>0.67</v>
      </c>
      <c r="H462" s="2">
        <v>0.0</v>
      </c>
    </row>
    <row r="463" ht="14.25" customHeight="1">
      <c r="A463" s="2" t="s">
        <v>112</v>
      </c>
      <c r="B463" s="2" t="s">
        <v>23</v>
      </c>
      <c r="C463" s="2" t="s">
        <v>25</v>
      </c>
      <c r="D463" s="2">
        <v>170.73</v>
      </c>
      <c r="E463" s="2">
        <v>0.02</v>
      </c>
      <c r="F463" s="2">
        <v>34.64</v>
      </c>
      <c r="G463" s="2">
        <v>0.25</v>
      </c>
      <c r="H463" s="2">
        <v>0.0</v>
      </c>
    </row>
    <row r="464" ht="14.25" customHeight="1">
      <c r="A464" s="2" t="s">
        <v>112</v>
      </c>
      <c r="B464" s="2" t="s">
        <v>23</v>
      </c>
      <c r="C464" s="2" t="s">
        <v>25</v>
      </c>
      <c r="D464" s="2">
        <v>0.0</v>
      </c>
      <c r="E464" s="2">
        <v>0.0</v>
      </c>
      <c r="F464" s="2">
        <v>0.0</v>
      </c>
      <c r="G464" s="2">
        <v>0.0</v>
      </c>
      <c r="H464" s="2">
        <v>0.0</v>
      </c>
    </row>
    <row r="465" ht="14.25" customHeight="1">
      <c r="A465" s="2" t="s">
        <v>112</v>
      </c>
      <c r="B465" s="2" t="s">
        <v>23</v>
      </c>
      <c r="C465" s="2" t="s">
        <v>25</v>
      </c>
      <c r="D465" s="2">
        <v>0.0</v>
      </c>
      <c r="E465" s="2">
        <v>0.0</v>
      </c>
      <c r="F465" s="2">
        <v>0.0</v>
      </c>
      <c r="G465" s="2">
        <v>0.0</v>
      </c>
      <c r="H465" s="2">
        <v>0.0</v>
      </c>
    </row>
    <row r="466" ht="14.25" customHeight="1">
      <c r="A466" s="2" t="s">
        <v>112</v>
      </c>
      <c r="B466" s="2" t="s">
        <v>23</v>
      </c>
      <c r="C466" s="2" t="s">
        <v>25</v>
      </c>
      <c r="D466" s="2">
        <v>0.0</v>
      </c>
      <c r="E466" s="2">
        <v>0.0</v>
      </c>
      <c r="F466" s="2">
        <v>0.0</v>
      </c>
      <c r="G466" s="2">
        <v>0.0</v>
      </c>
      <c r="H466" s="2">
        <v>0.0</v>
      </c>
    </row>
    <row r="467" ht="14.25" customHeight="1">
      <c r="A467" s="2" t="s">
        <v>112</v>
      </c>
      <c r="B467" s="2" t="s">
        <v>23</v>
      </c>
      <c r="C467" s="2" t="s">
        <v>25</v>
      </c>
      <c r="D467" s="2">
        <v>52.31</v>
      </c>
      <c r="E467" s="2">
        <v>0.01</v>
      </c>
      <c r="F467" s="2">
        <v>10.62</v>
      </c>
      <c r="G467" s="2">
        <v>0.08</v>
      </c>
      <c r="H467" s="2">
        <v>0.0</v>
      </c>
    </row>
    <row r="468" ht="14.25" customHeight="1">
      <c r="A468" s="2" t="s">
        <v>112</v>
      </c>
      <c r="B468" s="2" t="s">
        <v>23</v>
      </c>
      <c r="C468" s="2" t="s">
        <v>31</v>
      </c>
      <c r="D468" s="2">
        <v>142.43</v>
      </c>
      <c r="E468" s="2">
        <v>0.02</v>
      </c>
      <c r="F468" s="2">
        <v>28.9</v>
      </c>
      <c r="G468" s="2">
        <v>0.21</v>
      </c>
      <c r="H468" s="2">
        <v>0.0</v>
      </c>
    </row>
    <row r="469" ht="14.25" customHeight="1">
      <c r="A469" s="2" t="s">
        <v>112</v>
      </c>
      <c r="B469" s="2" t="s">
        <v>23</v>
      </c>
      <c r="C469" s="2" t="s">
        <v>31</v>
      </c>
      <c r="D469" s="2">
        <v>162.17</v>
      </c>
      <c r="E469" s="2">
        <v>0.02</v>
      </c>
      <c r="F469" s="2">
        <v>32.91</v>
      </c>
      <c r="G469" s="2">
        <v>0.24</v>
      </c>
      <c r="H469" s="2">
        <v>0.0</v>
      </c>
    </row>
    <row r="470" ht="14.25" customHeight="1">
      <c r="A470" s="2" t="s">
        <v>112</v>
      </c>
      <c r="B470" s="2" t="s">
        <v>23</v>
      </c>
      <c r="C470" s="2" t="s">
        <v>31</v>
      </c>
      <c r="D470" s="2">
        <v>27.82</v>
      </c>
      <c r="E470" s="2">
        <v>0.0</v>
      </c>
      <c r="F470" s="2">
        <v>5.65</v>
      </c>
      <c r="G470" s="2">
        <v>0.04</v>
      </c>
      <c r="H470" s="2">
        <v>0.0</v>
      </c>
    </row>
    <row r="471" ht="14.25" customHeight="1">
      <c r="A471" s="2" t="s">
        <v>112</v>
      </c>
      <c r="B471" s="2" t="s">
        <v>23</v>
      </c>
      <c r="C471" s="2" t="s">
        <v>32</v>
      </c>
      <c r="D471" s="2">
        <v>1227.87</v>
      </c>
      <c r="E471" s="2">
        <v>0.17</v>
      </c>
      <c r="F471" s="2">
        <v>249.16</v>
      </c>
      <c r="G471" s="2">
        <v>1.82</v>
      </c>
      <c r="H471" s="2">
        <v>0.01</v>
      </c>
    </row>
    <row r="472" ht="14.25" customHeight="1">
      <c r="A472" s="2" t="s">
        <v>112</v>
      </c>
      <c r="B472" s="2" t="s">
        <v>23</v>
      </c>
      <c r="C472" s="2" t="s">
        <v>32</v>
      </c>
      <c r="D472" s="2">
        <v>527.89</v>
      </c>
      <c r="E472" s="2">
        <v>0.07</v>
      </c>
      <c r="F472" s="2">
        <v>107.12</v>
      </c>
      <c r="G472" s="2">
        <v>0.78</v>
      </c>
      <c r="H472" s="2">
        <v>0.0</v>
      </c>
    </row>
    <row r="473" ht="14.25" customHeight="1">
      <c r="A473" s="2" t="s">
        <v>112</v>
      </c>
      <c r="B473" s="2" t="s">
        <v>23</v>
      </c>
      <c r="C473" s="2" t="s">
        <v>26</v>
      </c>
      <c r="D473" s="2">
        <v>0.0</v>
      </c>
      <c r="E473" s="2">
        <v>0.0</v>
      </c>
      <c r="F473" s="2">
        <v>0.0</v>
      </c>
      <c r="G473" s="2">
        <v>0.0</v>
      </c>
      <c r="H473" s="2">
        <v>0.0</v>
      </c>
    </row>
    <row r="474" ht="14.25" customHeight="1">
      <c r="A474" s="2" t="s">
        <v>112</v>
      </c>
      <c r="B474" s="2" t="s">
        <v>23</v>
      </c>
      <c r="C474" s="2" t="s">
        <v>33</v>
      </c>
      <c r="D474" s="2">
        <v>0.0</v>
      </c>
      <c r="E474" s="2">
        <v>0.0</v>
      </c>
      <c r="F474" s="2">
        <v>0.0</v>
      </c>
      <c r="G474" s="2">
        <v>0.0</v>
      </c>
      <c r="H474" s="2">
        <v>0.0</v>
      </c>
    </row>
    <row r="475" ht="14.25" customHeight="1">
      <c r="A475" s="2" t="s">
        <v>112</v>
      </c>
      <c r="B475" s="2" t="s">
        <v>23</v>
      </c>
      <c r="C475" s="2" t="s">
        <v>33</v>
      </c>
      <c r="D475" s="2">
        <v>0.0</v>
      </c>
      <c r="E475" s="2">
        <v>0.0</v>
      </c>
      <c r="F475" s="2">
        <v>0.0</v>
      </c>
      <c r="G475" s="2">
        <v>0.0</v>
      </c>
      <c r="H475" s="2">
        <v>0.0</v>
      </c>
    </row>
    <row r="476" ht="14.25" customHeight="1">
      <c r="A476" s="2" t="s">
        <v>112</v>
      </c>
      <c r="B476" s="2" t="s">
        <v>23</v>
      </c>
      <c r="C476" s="2" t="s">
        <v>33</v>
      </c>
      <c r="D476" s="2">
        <v>0.0</v>
      </c>
      <c r="E476" s="2">
        <v>0.0</v>
      </c>
      <c r="F476" s="2">
        <v>0.0</v>
      </c>
      <c r="G476" s="2">
        <v>0.0</v>
      </c>
      <c r="H476" s="2">
        <v>0.0</v>
      </c>
    </row>
    <row r="477" ht="14.25" customHeight="1">
      <c r="A477" s="2" t="s">
        <v>112</v>
      </c>
      <c r="B477" s="2" t="s">
        <v>23</v>
      </c>
      <c r="C477" s="2" t="s">
        <v>33</v>
      </c>
      <c r="D477" s="2">
        <v>0.0</v>
      </c>
      <c r="E477" s="2">
        <v>0.0</v>
      </c>
      <c r="F477" s="2">
        <v>0.0</v>
      </c>
      <c r="G477" s="2">
        <v>0.0</v>
      </c>
      <c r="H477" s="2">
        <v>0.0</v>
      </c>
    </row>
    <row r="478" ht="14.25" customHeight="1">
      <c r="A478" s="2" t="s">
        <v>112</v>
      </c>
      <c r="B478" s="2" t="s">
        <v>23</v>
      </c>
      <c r="C478" s="2" t="s">
        <v>33</v>
      </c>
      <c r="D478" s="2">
        <v>0.0</v>
      </c>
      <c r="E478" s="2">
        <v>0.0</v>
      </c>
      <c r="F478" s="2">
        <v>0.0</v>
      </c>
      <c r="G478" s="2">
        <v>0.0</v>
      </c>
      <c r="H478" s="2">
        <v>0.0</v>
      </c>
    </row>
    <row r="479" ht="14.25" customHeight="1">
      <c r="A479" s="2" t="s">
        <v>112</v>
      </c>
      <c r="B479" s="2" t="s">
        <v>23</v>
      </c>
      <c r="C479" s="2" t="s">
        <v>33</v>
      </c>
      <c r="D479" s="2">
        <v>0.0</v>
      </c>
      <c r="E479" s="2">
        <v>0.0</v>
      </c>
      <c r="F479" s="2">
        <v>0.0</v>
      </c>
      <c r="G479" s="2">
        <v>0.0</v>
      </c>
      <c r="H479" s="2">
        <v>0.0</v>
      </c>
    </row>
    <row r="480" ht="14.25" customHeight="1">
      <c r="A480" s="2" t="s">
        <v>112</v>
      </c>
      <c r="B480" s="2" t="s">
        <v>23</v>
      </c>
      <c r="C480" s="2" t="s">
        <v>33</v>
      </c>
      <c r="D480" s="2">
        <v>0.0</v>
      </c>
      <c r="E480" s="2">
        <v>0.0</v>
      </c>
      <c r="F480" s="2">
        <v>0.0</v>
      </c>
      <c r="G480" s="2">
        <v>0.0</v>
      </c>
      <c r="H480" s="2">
        <v>0.0</v>
      </c>
    </row>
    <row r="481" ht="14.25" customHeight="1">
      <c r="A481" s="2" t="s">
        <v>112</v>
      </c>
      <c r="B481" s="2" t="s">
        <v>23</v>
      </c>
      <c r="C481" s="2" t="s">
        <v>33</v>
      </c>
      <c r="D481" s="2">
        <v>0.0</v>
      </c>
      <c r="E481" s="2">
        <v>0.0</v>
      </c>
      <c r="F481" s="2">
        <v>0.0</v>
      </c>
      <c r="G481" s="2">
        <v>0.0</v>
      </c>
      <c r="H481" s="2">
        <v>0.0</v>
      </c>
    </row>
    <row r="482" ht="14.25" customHeight="1">
      <c r="A482" s="2" t="s">
        <v>112</v>
      </c>
      <c r="B482" s="2" t="s">
        <v>23</v>
      </c>
      <c r="C482" s="2" t="s">
        <v>10</v>
      </c>
      <c r="D482" s="2">
        <v>2786.91</v>
      </c>
      <c r="E482" s="2">
        <v>0.37</v>
      </c>
      <c r="F482" s="2">
        <v>565.53</v>
      </c>
      <c r="G482" s="2">
        <v>4.12</v>
      </c>
      <c r="H482" s="2">
        <v>0.01</v>
      </c>
    </row>
    <row r="483" ht="14.25" customHeight="1">
      <c r="A483" s="2" t="s">
        <v>112</v>
      </c>
      <c r="B483" s="2" t="s">
        <v>29</v>
      </c>
      <c r="C483" s="2" t="s">
        <v>10</v>
      </c>
      <c r="D483" s="2">
        <v>0.0</v>
      </c>
      <c r="E483" s="2">
        <v>0.0</v>
      </c>
      <c r="F483" s="2">
        <v>0.0</v>
      </c>
      <c r="G483" s="2">
        <v>0.0</v>
      </c>
      <c r="H483" s="2">
        <v>0.0</v>
      </c>
    </row>
    <row r="484" ht="14.25" customHeight="1">
      <c r="A484" s="2" t="s">
        <v>112</v>
      </c>
      <c r="B484" s="2" t="s">
        <v>18</v>
      </c>
      <c r="C484" s="2" t="s">
        <v>10</v>
      </c>
      <c r="D484" s="2">
        <v>0.0</v>
      </c>
      <c r="E484" s="2">
        <v>0.0</v>
      </c>
      <c r="F484" s="2">
        <v>0.0</v>
      </c>
      <c r="G484" s="2">
        <v>0.0</v>
      </c>
      <c r="H484" s="2">
        <v>0.0</v>
      </c>
    </row>
    <row r="485" ht="14.25" customHeight="1">
      <c r="A485" s="2" t="s">
        <v>113</v>
      </c>
      <c r="B485" s="2" t="s">
        <v>23</v>
      </c>
      <c r="C485" s="2" t="s">
        <v>10</v>
      </c>
      <c r="D485" s="2">
        <v>0.0</v>
      </c>
      <c r="E485" s="2">
        <v>0.0</v>
      </c>
      <c r="F485" s="2">
        <v>0.0</v>
      </c>
      <c r="G485" s="2">
        <v>0.0</v>
      </c>
      <c r="H485" s="2">
        <v>0.0</v>
      </c>
    </row>
    <row r="486" ht="14.25" customHeight="1">
      <c r="A486" s="2" t="s">
        <v>113</v>
      </c>
      <c r="B486" s="2" t="s">
        <v>29</v>
      </c>
      <c r="C486" s="2" t="s">
        <v>34</v>
      </c>
      <c r="D486" s="2">
        <v>9.51</v>
      </c>
      <c r="E486" s="2">
        <v>0.0</v>
      </c>
      <c r="F486" s="2">
        <v>1.93</v>
      </c>
      <c r="G486" s="2">
        <v>0.01</v>
      </c>
      <c r="H486" s="2">
        <v>0.0</v>
      </c>
    </row>
    <row r="487" ht="14.25" customHeight="1">
      <c r="A487" s="2" t="s">
        <v>113</v>
      </c>
      <c r="B487" s="2" t="s">
        <v>29</v>
      </c>
      <c r="C487" s="2" t="s">
        <v>35</v>
      </c>
      <c r="D487" s="2">
        <v>0.0</v>
      </c>
      <c r="E487" s="2">
        <v>0.0</v>
      </c>
      <c r="F487" s="2">
        <v>0.0</v>
      </c>
      <c r="G487" s="2">
        <v>0.0</v>
      </c>
      <c r="H487" s="2">
        <v>0.0</v>
      </c>
    </row>
    <row r="488" ht="14.25" customHeight="1">
      <c r="A488" s="2" t="s">
        <v>113</v>
      </c>
      <c r="B488" s="2" t="s">
        <v>29</v>
      </c>
      <c r="C488" s="2" t="s">
        <v>35</v>
      </c>
      <c r="D488" s="2">
        <v>0.0</v>
      </c>
      <c r="E488" s="2">
        <v>0.0</v>
      </c>
      <c r="F488" s="2">
        <v>0.0</v>
      </c>
      <c r="G488" s="2">
        <v>0.0</v>
      </c>
      <c r="H488" s="2">
        <v>0.0</v>
      </c>
    </row>
    <row r="489" ht="14.25" customHeight="1">
      <c r="A489" s="2" t="s">
        <v>113</v>
      </c>
      <c r="B489" s="2" t="s">
        <v>29</v>
      </c>
      <c r="C489" s="2" t="s">
        <v>35</v>
      </c>
      <c r="D489" s="2">
        <v>0.0</v>
      </c>
      <c r="E489" s="2">
        <v>0.0</v>
      </c>
      <c r="F489" s="2">
        <v>0.0</v>
      </c>
      <c r="G489" s="2">
        <v>0.0</v>
      </c>
      <c r="H489" s="2">
        <v>0.0</v>
      </c>
    </row>
    <row r="490" ht="14.25" customHeight="1">
      <c r="A490" s="2" t="s">
        <v>113</v>
      </c>
      <c r="B490" s="2" t="s">
        <v>29</v>
      </c>
      <c r="C490" s="2" t="s">
        <v>35</v>
      </c>
      <c r="D490" s="2">
        <v>0.0</v>
      </c>
      <c r="E490" s="2">
        <v>0.0</v>
      </c>
      <c r="F490" s="2">
        <v>0.0</v>
      </c>
      <c r="G490" s="2">
        <v>0.0</v>
      </c>
      <c r="H490" s="2">
        <v>0.0</v>
      </c>
    </row>
    <row r="491" ht="14.25" customHeight="1">
      <c r="A491" s="2" t="s">
        <v>113</v>
      </c>
      <c r="B491" s="2" t="s">
        <v>29</v>
      </c>
      <c r="C491" s="2" t="s">
        <v>36</v>
      </c>
      <c r="D491" s="2">
        <v>0.0</v>
      </c>
      <c r="E491" s="2">
        <v>0.0</v>
      </c>
      <c r="F491" s="2">
        <v>0.0</v>
      </c>
      <c r="G491" s="2">
        <v>0.0</v>
      </c>
      <c r="H491" s="2">
        <v>0.0</v>
      </c>
    </row>
    <row r="492" ht="14.25" customHeight="1">
      <c r="A492" s="2" t="s">
        <v>113</v>
      </c>
      <c r="B492" s="2" t="s">
        <v>29</v>
      </c>
      <c r="C492" s="2" t="s">
        <v>10</v>
      </c>
      <c r="D492" s="2">
        <v>9.51</v>
      </c>
      <c r="E492" s="2">
        <v>0.0</v>
      </c>
      <c r="F492" s="2">
        <v>1.93</v>
      </c>
      <c r="G492" s="2">
        <v>0.01</v>
      </c>
      <c r="H492" s="2">
        <v>0.0</v>
      </c>
    </row>
    <row r="493" ht="14.25" customHeight="1">
      <c r="A493" s="2" t="s">
        <v>113</v>
      </c>
      <c r="B493" s="2" t="s">
        <v>18</v>
      </c>
      <c r="C493" s="2" t="s">
        <v>10</v>
      </c>
      <c r="D493" s="2">
        <v>0.0</v>
      </c>
      <c r="E493" s="2">
        <v>0.0</v>
      </c>
      <c r="F493" s="2">
        <v>0.0</v>
      </c>
      <c r="G493" s="2">
        <v>0.0</v>
      </c>
      <c r="H493" s="2">
        <v>0.0</v>
      </c>
    </row>
    <row r="494" ht="14.25" customHeight="1">
      <c r="A494" s="2" t="s">
        <v>114</v>
      </c>
      <c r="B494" s="2" t="s">
        <v>21</v>
      </c>
      <c r="C494" s="2" t="s">
        <v>41</v>
      </c>
      <c r="D494" s="2">
        <v>0.0</v>
      </c>
      <c r="E494" s="2">
        <v>0.0</v>
      </c>
      <c r="F494" s="2">
        <v>0.0</v>
      </c>
      <c r="G494" s="2">
        <v>0.0</v>
      </c>
      <c r="H494" s="2">
        <v>0.0</v>
      </c>
    </row>
    <row r="495" ht="14.25" customHeight="1">
      <c r="A495" s="2" t="s">
        <v>114</v>
      </c>
      <c r="B495" s="2" t="s">
        <v>21</v>
      </c>
      <c r="C495" s="2" t="s">
        <v>42</v>
      </c>
      <c r="D495" s="2">
        <v>0.0</v>
      </c>
      <c r="E495" s="2">
        <v>0.0</v>
      </c>
      <c r="F495" s="2">
        <v>0.0</v>
      </c>
      <c r="G495" s="2">
        <v>0.0</v>
      </c>
      <c r="H495" s="2">
        <v>0.0</v>
      </c>
    </row>
    <row r="496" ht="14.25" customHeight="1">
      <c r="A496" s="2" t="s">
        <v>114</v>
      </c>
      <c r="B496" s="2" t="s">
        <v>21</v>
      </c>
      <c r="C496" s="2" t="s">
        <v>43</v>
      </c>
      <c r="D496" s="2">
        <v>0.0</v>
      </c>
      <c r="E496" s="2">
        <v>0.0</v>
      </c>
      <c r="F496" s="2">
        <v>0.0</v>
      </c>
      <c r="G496" s="2">
        <v>0.0</v>
      </c>
      <c r="H496" s="2">
        <v>0.0</v>
      </c>
    </row>
    <row r="497" ht="14.25" customHeight="1">
      <c r="A497" s="2" t="s">
        <v>114</v>
      </c>
      <c r="B497" s="2" t="s">
        <v>21</v>
      </c>
      <c r="C497" s="2" t="s">
        <v>59</v>
      </c>
      <c r="D497" s="2">
        <v>0.0</v>
      </c>
      <c r="E497" s="2">
        <v>0.0</v>
      </c>
      <c r="F497" s="2">
        <v>0.0</v>
      </c>
      <c r="G497" s="2">
        <v>0.0</v>
      </c>
      <c r="H497" s="2">
        <v>0.0</v>
      </c>
    </row>
    <row r="498" ht="14.25" customHeight="1">
      <c r="A498" s="2" t="s">
        <v>114</v>
      </c>
      <c r="B498" s="2" t="s">
        <v>21</v>
      </c>
      <c r="C498" s="2" t="s">
        <v>10</v>
      </c>
      <c r="D498" s="2">
        <v>0.0</v>
      </c>
      <c r="E498" s="2">
        <v>0.0</v>
      </c>
      <c r="F498" s="2">
        <v>0.0</v>
      </c>
      <c r="G498" s="2">
        <v>0.0</v>
      </c>
      <c r="H498" s="2">
        <v>0.0</v>
      </c>
    </row>
    <row r="499" ht="14.25" customHeight="1">
      <c r="A499" s="2" t="s">
        <v>114</v>
      </c>
      <c r="B499" s="2" t="s">
        <v>22</v>
      </c>
      <c r="C499" s="2" t="s">
        <v>60</v>
      </c>
      <c r="D499" s="2">
        <v>0.0</v>
      </c>
      <c r="E499" s="2">
        <v>0.0</v>
      </c>
      <c r="F499" s="2">
        <v>0.0</v>
      </c>
      <c r="G499" s="2">
        <v>0.0</v>
      </c>
      <c r="H499" s="2">
        <v>0.0</v>
      </c>
    </row>
    <row r="500" ht="14.25" customHeight="1">
      <c r="A500" s="2" t="s">
        <v>114</v>
      </c>
      <c r="B500" s="2" t="s">
        <v>22</v>
      </c>
      <c r="C500" s="2" t="s">
        <v>60</v>
      </c>
      <c r="D500" s="2">
        <v>0.0</v>
      </c>
      <c r="E500" s="2">
        <v>0.0</v>
      </c>
      <c r="F500" s="2">
        <v>0.0</v>
      </c>
      <c r="G500" s="2">
        <v>0.0</v>
      </c>
      <c r="H500" s="2">
        <v>0.0</v>
      </c>
    </row>
    <row r="501" ht="14.25" customHeight="1">
      <c r="A501" s="2" t="s">
        <v>114</v>
      </c>
      <c r="B501" s="2" t="s">
        <v>22</v>
      </c>
      <c r="C501" s="2" t="s">
        <v>60</v>
      </c>
      <c r="D501" s="2">
        <v>0.0</v>
      </c>
      <c r="E501" s="2">
        <v>0.0</v>
      </c>
      <c r="F501" s="2">
        <v>0.0</v>
      </c>
      <c r="G501" s="2">
        <v>0.0</v>
      </c>
      <c r="H501" s="2">
        <v>0.0</v>
      </c>
    </row>
    <row r="502" ht="14.25" customHeight="1">
      <c r="A502" s="2" t="s">
        <v>114</v>
      </c>
      <c r="B502" s="2" t="s">
        <v>22</v>
      </c>
      <c r="C502" s="2" t="s">
        <v>61</v>
      </c>
      <c r="D502" s="2">
        <v>0.92</v>
      </c>
      <c r="E502" s="2">
        <v>0.0</v>
      </c>
      <c r="F502" s="2">
        <v>2.22</v>
      </c>
      <c r="G502" s="2">
        <v>0.0</v>
      </c>
      <c r="H502" s="2">
        <v>0.01</v>
      </c>
    </row>
    <row r="503" ht="14.25" customHeight="1">
      <c r="A503" s="2" t="s">
        <v>114</v>
      </c>
      <c r="B503" s="2" t="s">
        <v>22</v>
      </c>
      <c r="C503" s="2" t="s">
        <v>61</v>
      </c>
      <c r="D503" s="2">
        <v>14.74</v>
      </c>
      <c r="E503" s="2">
        <v>0.01</v>
      </c>
      <c r="F503" s="2">
        <v>35.44</v>
      </c>
      <c r="G503" s="2">
        <v>0.03</v>
      </c>
      <c r="H503" s="2">
        <v>0.23</v>
      </c>
    </row>
    <row r="504" ht="14.25" customHeight="1">
      <c r="A504" s="2" t="s">
        <v>114</v>
      </c>
      <c r="B504" s="2" t="s">
        <v>22</v>
      </c>
      <c r="C504" s="2" t="s">
        <v>61</v>
      </c>
      <c r="D504" s="2">
        <v>5.82</v>
      </c>
      <c r="E504" s="2">
        <v>0.0</v>
      </c>
      <c r="F504" s="2">
        <v>14.0</v>
      </c>
      <c r="G504" s="2">
        <v>0.01</v>
      </c>
      <c r="H504" s="2">
        <v>0.09</v>
      </c>
    </row>
    <row r="505" ht="14.25" customHeight="1">
      <c r="A505" s="2" t="s">
        <v>114</v>
      </c>
      <c r="B505" s="2" t="s">
        <v>22</v>
      </c>
      <c r="C505" s="2" t="s">
        <v>62</v>
      </c>
      <c r="D505" s="2">
        <v>10.19</v>
      </c>
      <c r="E505" s="2">
        <v>0.0</v>
      </c>
      <c r="F505" s="2">
        <v>24.51</v>
      </c>
      <c r="G505" s="2">
        <v>0.02</v>
      </c>
      <c r="H505" s="2">
        <v>0.16</v>
      </c>
    </row>
    <row r="506" ht="14.25" customHeight="1">
      <c r="A506" s="2" t="s">
        <v>114</v>
      </c>
      <c r="B506" s="2" t="s">
        <v>22</v>
      </c>
      <c r="C506" s="2" t="s">
        <v>62</v>
      </c>
      <c r="D506" s="2">
        <v>0.66</v>
      </c>
      <c r="E506" s="2">
        <v>0.0</v>
      </c>
      <c r="F506" s="2">
        <v>1.58</v>
      </c>
      <c r="G506" s="2">
        <v>0.0</v>
      </c>
      <c r="H506" s="2">
        <v>0.01</v>
      </c>
    </row>
    <row r="507" ht="14.25" customHeight="1">
      <c r="A507" s="2" t="s">
        <v>114</v>
      </c>
      <c r="B507" s="2" t="s">
        <v>22</v>
      </c>
      <c r="C507" s="2" t="s">
        <v>92</v>
      </c>
      <c r="D507" s="2">
        <v>0.0</v>
      </c>
      <c r="E507" s="2">
        <v>0.0</v>
      </c>
      <c r="F507" s="2">
        <v>0.0</v>
      </c>
      <c r="G507" s="2">
        <v>0.0</v>
      </c>
      <c r="H507" s="2">
        <v>0.0</v>
      </c>
    </row>
    <row r="508" ht="14.25" customHeight="1">
      <c r="A508" s="2" t="s">
        <v>114</v>
      </c>
      <c r="B508" s="2" t="s">
        <v>22</v>
      </c>
      <c r="C508" s="2" t="s">
        <v>92</v>
      </c>
      <c r="D508" s="2">
        <v>0.0</v>
      </c>
      <c r="E508" s="2">
        <v>0.0</v>
      </c>
      <c r="F508" s="2">
        <v>0.0</v>
      </c>
      <c r="G508" s="2">
        <v>0.0</v>
      </c>
      <c r="H508" s="2">
        <v>0.0</v>
      </c>
    </row>
    <row r="509" ht="14.25" customHeight="1">
      <c r="A509" s="2" t="s">
        <v>114</v>
      </c>
      <c r="B509" s="2" t="s">
        <v>22</v>
      </c>
      <c r="C509" s="2" t="s">
        <v>63</v>
      </c>
      <c r="D509" s="2">
        <v>0.0</v>
      </c>
      <c r="E509" s="2">
        <v>0.0</v>
      </c>
      <c r="F509" s="2">
        <v>0.0</v>
      </c>
      <c r="G509" s="2">
        <v>0.0</v>
      </c>
      <c r="H509" s="2">
        <v>0.0</v>
      </c>
    </row>
    <row r="510" ht="14.25" customHeight="1">
      <c r="A510" s="2" t="s">
        <v>114</v>
      </c>
      <c r="B510" s="2" t="s">
        <v>22</v>
      </c>
      <c r="C510" s="2" t="s">
        <v>64</v>
      </c>
      <c r="D510" s="2">
        <v>0.0</v>
      </c>
      <c r="E510" s="2">
        <v>0.0</v>
      </c>
      <c r="F510" s="2">
        <v>0.0</v>
      </c>
      <c r="G510" s="2">
        <v>0.0</v>
      </c>
      <c r="H510" s="2">
        <v>0.0</v>
      </c>
    </row>
    <row r="511" ht="14.25" customHeight="1">
      <c r="A511" s="2" t="s">
        <v>114</v>
      </c>
      <c r="B511" s="2" t="s">
        <v>22</v>
      </c>
      <c r="C511" s="2" t="s">
        <v>65</v>
      </c>
      <c r="D511" s="2">
        <v>0.0</v>
      </c>
      <c r="E511" s="2">
        <v>0.0</v>
      </c>
      <c r="F511" s="2">
        <v>0.0</v>
      </c>
      <c r="G511" s="2">
        <v>0.0</v>
      </c>
      <c r="H511" s="2">
        <v>0.0</v>
      </c>
    </row>
    <row r="512" ht="14.25" customHeight="1">
      <c r="A512" s="2" t="s">
        <v>114</v>
      </c>
      <c r="B512" s="2" t="s">
        <v>22</v>
      </c>
      <c r="C512" s="2" t="s">
        <v>66</v>
      </c>
      <c r="D512" s="2">
        <v>0.0</v>
      </c>
      <c r="E512" s="2">
        <v>0.0</v>
      </c>
      <c r="F512" s="2">
        <v>0.0</v>
      </c>
      <c r="G512" s="2">
        <v>0.0</v>
      </c>
      <c r="H512" s="2">
        <v>0.0</v>
      </c>
    </row>
    <row r="513" ht="14.25" customHeight="1">
      <c r="A513" s="2" t="s">
        <v>114</v>
      </c>
      <c r="B513" s="2" t="s">
        <v>22</v>
      </c>
      <c r="C513" s="2" t="s">
        <v>67</v>
      </c>
      <c r="D513" s="2">
        <v>0.0</v>
      </c>
      <c r="E513" s="2">
        <v>0.0</v>
      </c>
      <c r="F513" s="2">
        <v>0.0</v>
      </c>
      <c r="G513" s="2">
        <v>0.0</v>
      </c>
      <c r="H513" s="2">
        <v>0.0</v>
      </c>
    </row>
    <row r="514" ht="14.25" customHeight="1">
      <c r="A514" s="2" t="s">
        <v>114</v>
      </c>
      <c r="B514" s="2" t="s">
        <v>22</v>
      </c>
      <c r="C514" s="2" t="s">
        <v>68</v>
      </c>
      <c r="D514" s="2">
        <v>0.0</v>
      </c>
      <c r="E514" s="2">
        <v>0.0</v>
      </c>
      <c r="F514" s="2">
        <v>0.0</v>
      </c>
      <c r="G514" s="2">
        <v>0.0</v>
      </c>
      <c r="H514" s="2">
        <v>0.0</v>
      </c>
    </row>
    <row r="515" ht="14.25" customHeight="1">
      <c r="A515" s="2" t="s">
        <v>114</v>
      </c>
      <c r="B515" s="2" t="s">
        <v>22</v>
      </c>
      <c r="C515" s="2" t="s">
        <v>10</v>
      </c>
      <c r="D515" s="2">
        <v>32.33</v>
      </c>
      <c r="E515" s="2">
        <v>0.01</v>
      </c>
      <c r="F515" s="2">
        <v>77.75</v>
      </c>
      <c r="G515" s="2">
        <v>0.06</v>
      </c>
      <c r="H515" s="2">
        <v>0.5</v>
      </c>
    </row>
    <row r="516" ht="14.25" customHeight="1">
      <c r="A516" s="2" t="s">
        <v>114</v>
      </c>
      <c r="B516" s="2" t="s">
        <v>23</v>
      </c>
      <c r="C516" s="2" t="s">
        <v>10</v>
      </c>
      <c r="D516" s="2">
        <v>0.0</v>
      </c>
      <c r="E516" s="2">
        <v>0.0</v>
      </c>
      <c r="F516" s="2">
        <v>0.0</v>
      </c>
      <c r="G516" s="2">
        <v>0.0</v>
      </c>
      <c r="H516" s="2">
        <v>0.0</v>
      </c>
    </row>
    <row r="517" ht="14.25" customHeight="1">
      <c r="A517" s="2" t="s">
        <v>114</v>
      </c>
      <c r="B517" s="2" t="s">
        <v>29</v>
      </c>
      <c r="C517" s="2" t="s">
        <v>10</v>
      </c>
      <c r="D517" s="2">
        <v>0.0</v>
      </c>
      <c r="E517" s="2">
        <v>0.0</v>
      </c>
      <c r="F517" s="2">
        <v>0.0</v>
      </c>
      <c r="G517" s="2">
        <v>0.0</v>
      </c>
      <c r="H517" s="2">
        <v>0.0</v>
      </c>
    </row>
    <row r="518" ht="14.25" customHeight="1">
      <c r="A518" s="2" t="s">
        <v>114</v>
      </c>
      <c r="B518" s="2" t="s">
        <v>18</v>
      </c>
      <c r="C518" s="2" t="s">
        <v>10</v>
      </c>
      <c r="D518" s="2">
        <v>0.0</v>
      </c>
      <c r="E518" s="2">
        <v>0.0</v>
      </c>
      <c r="F518" s="2">
        <v>0.0</v>
      </c>
      <c r="G518" s="2">
        <v>0.0</v>
      </c>
      <c r="H518" s="2">
        <v>0.0</v>
      </c>
    </row>
    <row r="519" ht="14.25" customHeight="1">
      <c r="A519" s="2" t="s">
        <v>115</v>
      </c>
      <c r="B519" s="2" t="s">
        <v>21</v>
      </c>
      <c r="C519" s="2" t="s">
        <v>41</v>
      </c>
      <c r="D519" s="2">
        <v>0.0</v>
      </c>
      <c r="E519" s="2">
        <v>0.0</v>
      </c>
      <c r="F519" s="2">
        <v>0.0</v>
      </c>
      <c r="G519" s="2">
        <v>0.0</v>
      </c>
      <c r="H519" s="2">
        <v>0.0</v>
      </c>
    </row>
    <row r="520" ht="14.25" customHeight="1">
      <c r="A520" s="2" t="s">
        <v>115</v>
      </c>
      <c r="B520" s="2" t="s">
        <v>21</v>
      </c>
      <c r="C520" s="2" t="s">
        <v>41</v>
      </c>
      <c r="D520" s="2">
        <v>0.0</v>
      </c>
      <c r="E520" s="2">
        <v>0.0</v>
      </c>
      <c r="F520" s="2">
        <v>0.0</v>
      </c>
      <c r="G520" s="2">
        <v>0.0</v>
      </c>
      <c r="H520" s="2">
        <v>0.0</v>
      </c>
    </row>
    <row r="521" ht="14.25" customHeight="1">
      <c r="A521" s="2" t="s">
        <v>115</v>
      </c>
      <c r="B521" s="2" t="s">
        <v>21</v>
      </c>
      <c r="C521" s="2" t="s">
        <v>41</v>
      </c>
      <c r="D521" s="2">
        <v>0.0</v>
      </c>
      <c r="E521" s="2">
        <v>0.0</v>
      </c>
      <c r="F521" s="2">
        <v>0.0</v>
      </c>
      <c r="G521" s="2">
        <v>0.0</v>
      </c>
      <c r="H521" s="2">
        <v>0.0</v>
      </c>
    </row>
    <row r="522" ht="14.25" customHeight="1">
      <c r="A522" s="2" t="s">
        <v>115</v>
      </c>
      <c r="B522" s="2" t="s">
        <v>21</v>
      </c>
      <c r="C522" s="2" t="s">
        <v>41</v>
      </c>
      <c r="D522" s="2">
        <v>0.0</v>
      </c>
      <c r="E522" s="2">
        <v>0.0</v>
      </c>
      <c r="F522" s="2">
        <v>0.0</v>
      </c>
      <c r="G522" s="2">
        <v>0.0</v>
      </c>
      <c r="H522" s="2">
        <v>0.0</v>
      </c>
    </row>
    <row r="523" ht="14.25" customHeight="1">
      <c r="A523" s="2" t="s">
        <v>115</v>
      </c>
      <c r="B523" s="2" t="s">
        <v>21</v>
      </c>
      <c r="C523" s="2" t="s">
        <v>41</v>
      </c>
      <c r="D523" s="2">
        <v>0.0</v>
      </c>
      <c r="E523" s="2">
        <v>0.0</v>
      </c>
      <c r="F523" s="2">
        <v>0.0</v>
      </c>
      <c r="G523" s="2">
        <v>0.0</v>
      </c>
      <c r="H523" s="2">
        <v>0.0</v>
      </c>
    </row>
    <row r="524" ht="14.25" customHeight="1">
      <c r="A524" s="2" t="s">
        <v>115</v>
      </c>
      <c r="B524" s="2" t="s">
        <v>21</v>
      </c>
      <c r="C524" s="2" t="s">
        <v>42</v>
      </c>
      <c r="D524" s="2">
        <v>13.28</v>
      </c>
      <c r="E524" s="2">
        <v>0.01</v>
      </c>
      <c r="F524" s="2">
        <v>31.94</v>
      </c>
      <c r="G524" s="2">
        <v>0.03</v>
      </c>
      <c r="H524" s="2">
        <v>0.21</v>
      </c>
    </row>
    <row r="525" ht="14.25" customHeight="1">
      <c r="A525" s="2" t="s">
        <v>115</v>
      </c>
      <c r="B525" s="2" t="s">
        <v>21</v>
      </c>
      <c r="C525" s="2" t="s">
        <v>43</v>
      </c>
      <c r="D525" s="2">
        <v>1.73</v>
      </c>
      <c r="E525" s="2">
        <v>0.0</v>
      </c>
      <c r="F525" s="2">
        <v>4.16</v>
      </c>
      <c r="G525" s="2">
        <v>0.0</v>
      </c>
      <c r="H525" s="2">
        <v>0.03</v>
      </c>
    </row>
    <row r="526" ht="14.25" customHeight="1">
      <c r="A526" s="2" t="s">
        <v>115</v>
      </c>
      <c r="B526" s="2" t="s">
        <v>21</v>
      </c>
      <c r="C526" s="2" t="s">
        <v>43</v>
      </c>
      <c r="D526" s="2">
        <v>0.0</v>
      </c>
      <c r="E526" s="2">
        <v>0.0</v>
      </c>
      <c r="F526" s="2">
        <v>0.0</v>
      </c>
      <c r="G526" s="2">
        <v>0.0</v>
      </c>
      <c r="H526" s="2">
        <v>0.0</v>
      </c>
    </row>
    <row r="527" ht="14.25" customHeight="1">
      <c r="A527" s="2" t="s">
        <v>115</v>
      </c>
      <c r="B527" s="2" t="s">
        <v>21</v>
      </c>
      <c r="C527" s="2" t="s">
        <v>43</v>
      </c>
      <c r="D527" s="2">
        <v>0.8</v>
      </c>
      <c r="E527" s="2">
        <v>0.0</v>
      </c>
      <c r="F527" s="2">
        <v>1.92</v>
      </c>
      <c r="G527" s="2">
        <v>0.0</v>
      </c>
      <c r="H527" s="2">
        <v>0.01</v>
      </c>
    </row>
    <row r="528" ht="14.25" customHeight="1">
      <c r="A528" s="2" t="s">
        <v>115</v>
      </c>
      <c r="B528" s="2" t="s">
        <v>21</v>
      </c>
      <c r="C528" s="2" t="s">
        <v>57</v>
      </c>
      <c r="D528" s="2">
        <v>0.0</v>
      </c>
      <c r="E528" s="2">
        <v>0.0</v>
      </c>
      <c r="F528" s="2">
        <v>0.0</v>
      </c>
      <c r="G528" s="2">
        <v>0.0</v>
      </c>
      <c r="H528" s="2">
        <v>0.0</v>
      </c>
    </row>
    <row r="529" ht="14.25" customHeight="1">
      <c r="A529" s="2" t="s">
        <v>115</v>
      </c>
      <c r="B529" s="2" t="s">
        <v>21</v>
      </c>
      <c r="C529" s="2" t="s">
        <v>58</v>
      </c>
      <c r="D529" s="2">
        <v>0.0</v>
      </c>
      <c r="E529" s="2">
        <v>0.0</v>
      </c>
      <c r="F529" s="2">
        <v>0.0</v>
      </c>
      <c r="G529" s="2">
        <v>0.0</v>
      </c>
      <c r="H529" s="2">
        <v>0.0</v>
      </c>
    </row>
    <row r="530" ht="14.25" customHeight="1">
      <c r="A530" s="2" t="s">
        <v>115</v>
      </c>
      <c r="B530" s="2" t="s">
        <v>21</v>
      </c>
      <c r="C530" s="2" t="s">
        <v>94</v>
      </c>
      <c r="D530" s="2">
        <v>0.0</v>
      </c>
      <c r="E530" s="2">
        <v>0.0</v>
      </c>
      <c r="F530" s="2">
        <v>0.0</v>
      </c>
      <c r="G530" s="2">
        <v>0.0</v>
      </c>
      <c r="H530" s="2">
        <v>0.0</v>
      </c>
    </row>
    <row r="531" ht="14.25" customHeight="1">
      <c r="A531" s="2" t="s">
        <v>115</v>
      </c>
      <c r="B531" s="2" t="s">
        <v>21</v>
      </c>
      <c r="C531" s="2" t="s">
        <v>44</v>
      </c>
      <c r="D531" s="2">
        <v>0.0</v>
      </c>
      <c r="E531" s="2">
        <v>0.0</v>
      </c>
      <c r="F531" s="2">
        <v>0.0</v>
      </c>
      <c r="G531" s="2">
        <v>0.0</v>
      </c>
      <c r="H531" s="2">
        <v>0.0</v>
      </c>
    </row>
    <row r="532" ht="14.25" customHeight="1">
      <c r="A532" s="2" t="s">
        <v>115</v>
      </c>
      <c r="B532" s="2" t="s">
        <v>21</v>
      </c>
      <c r="C532" s="2" t="s">
        <v>45</v>
      </c>
      <c r="D532" s="2">
        <v>0.0</v>
      </c>
      <c r="E532" s="2">
        <v>0.0</v>
      </c>
      <c r="F532" s="2">
        <v>0.0</v>
      </c>
      <c r="G532" s="2">
        <v>0.0</v>
      </c>
      <c r="H532" s="2">
        <v>0.0</v>
      </c>
    </row>
    <row r="533" ht="14.25" customHeight="1">
      <c r="A533" s="2" t="s">
        <v>115</v>
      </c>
      <c r="B533" s="2" t="s">
        <v>21</v>
      </c>
      <c r="C533" s="2" t="s">
        <v>59</v>
      </c>
      <c r="D533" s="2">
        <v>0.0</v>
      </c>
      <c r="E533" s="2">
        <v>0.0</v>
      </c>
      <c r="F533" s="2">
        <v>0.0</v>
      </c>
      <c r="G533" s="2">
        <v>0.0</v>
      </c>
      <c r="H533" s="2">
        <v>0.0</v>
      </c>
    </row>
    <row r="534" ht="14.25" customHeight="1">
      <c r="A534" s="2" t="s">
        <v>115</v>
      </c>
      <c r="B534" s="2" t="s">
        <v>21</v>
      </c>
      <c r="C534" s="2" t="s">
        <v>10</v>
      </c>
      <c r="D534" s="2">
        <v>15.81</v>
      </c>
      <c r="E534" s="2">
        <v>0.01</v>
      </c>
      <c r="F534" s="2">
        <v>38.02</v>
      </c>
      <c r="G534" s="2">
        <v>0.03</v>
      </c>
      <c r="H534" s="2">
        <v>0.25</v>
      </c>
    </row>
    <row r="535" ht="14.25" customHeight="1">
      <c r="A535" s="2" t="s">
        <v>115</v>
      </c>
      <c r="B535" s="2" t="s">
        <v>22</v>
      </c>
      <c r="C535" s="2" t="s">
        <v>10</v>
      </c>
      <c r="D535" s="2">
        <v>0.0</v>
      </c>
      <c r="E535" s="2">
        <v>0.0</v>
      </c>
      <c r="F535" s="2">
        <v>0.0</v>
      </c>
      <c r="G535" s="2">
        <v>0.0</v>
      </c>
      <c r="H535" s="2">
        <v>0.0</v>
      </c>
    </row>
    <row r="536" ht="14.25" customHeight="1">
      <c r="A536" s="2" t="s">
        <v>116</v>
      </c>
      <c r="B536" s="2" t="s">
        <v>9</v>
      </c>
      <c r="C536" s="2" t="s">
        <v>10</v>
      </c>
      <c r="D536" s="2">
        <v>0.0</v>
      </c>
      <c r="E536" s="2">
        <v>0.0</v>
      </c>
      <c r="F536" s="2">
        <v>0.0</v>
      </c>
      <c r="G536" s="2">
        <v>0.0</v>
      </c>
      <c r="H536" s="2">
        <v>0.0</v>
      </c>
    </row>
    <row r="537" ht="14.25" customHeight="1">
      <c r="A537" s="2" t="s">
        <v>116</v>
      </c>
      <c r="B537" s="2" t="s">
        <v>11</v>
      </c>
      <c r="C537" s="2" t="s">
        <v>12</v>
      </c>
      <c r="D537" s="2">
        <v>13.15</v>
      </c>
      <c r="E537" s="2">
        <v>0.0</v>
      </c>
      <c r="F537" s="2">
        <v>6.12</v>
      </c>
      <c r="G537" s="2">
        <v>0.01</v>
      </c>
      <c r="H537" s="2">
        <v>0.01</v>
      </c>
    </row>
    <row r="538" ht="14.25" customHeight="1">
      <c r="A538" s="2" t="s">
        <v>116</v>
      </c>
      <c r="B538" s="2" t="s">
        <v>11</v>
      </c>
      <c r="C538" s="2" t="s">
        <v>12</v>
      </c>
      <c r="D538" s="2">
        <v>8.1</v>
      </c>
      <c r="E538" s="2">
        <v>0.0</v>
      </c>
      <c r="F538" s="2">
        <v>3.77</v>
      </c>
      <c r="G538" s="2">
        <v>0.0</v>
      </c>
      <c r="H538" s="2">
        <v>0.01</v>
      </c>
    </row>
    <row r="539" ht="14.25" customHeight="1">
      <c r="A539" s="2" t="s">
        <v>116</v>
      </c>
      <c r="B539" s="2" t="s">
        <v>11</v>
      </c>
      <c r="C539" s="2" t="s">
        <v>12</v>
      </c>
      <c r="D539" s="2">
        <v>4.82</v>
      </c>
      <c r="E539" s="2">
        <v>0.0</v>
      </c>
      <c r="F539" s="2">
        <v>2.25</v>
      </c>
      <c r="G539" s="2">
        <v>0.0</v>
      </c>
      <c r="H539" s="2">
        <v>0.01</v>
      </c>
    </row>
    <row r="540" ht="14.25" customHeight="1">
      <c r="A540" s="2" t="s">
        <v>116</v>
      </c>
      <c r="B540" s="2" t="s">
        <v>11</v>
      </c>
      <c r="C540" s="2" t="s">
        <v>13</v>
      </c>
      <c r="D540" s="2">
        <v>14.89</v>
      </c>
      <c r="E540" s="2">
        <v>0.0</v>
      </c>
      <c r="F540" s="2">
        <v>6.93</v>
      </c>
      <c r="G540" s="2">
        <v>0.01</v>
      </c>
      <c r="H540" s="2">
        <v>0.02</v>
      </c>
    </row>
    <row r="541" ht="14.25" customHeight="1">
      <c r="A541" s="2" t="s">
        <v>116</v>
      </c>
      <c r="B541" s="2" t="s">
        <v>11</v>
      </c>
      <c r="C541" s="2" t="s">
        <v>14</v>
      </c>
      <c r="D541" s="2">
        <v>2.06</v>
      </c>
      <c r="E541" s="2">
        <v>0.0</v>
      </c>
      <c r="F541" s="2">
        <v>0.96</v>
      </c>
      <c r="G541" s="2">
        <v>0.0</v>
      </c>
      <c r="H541" s="2">
        <v>0.0</v>
      </c>
    </row>
    <row r="542" ht="14.25" customHeight="1">
      <c r="A542" s="2" t="s">
        <v>116</v>
      </c>
      <c r="B542" s="2" t="s">
        <v>11</v>
      </c>
      <c r="C542" s="2" t="s">
        <v>117</v>
      </c>
      <c r="D542" s="2">
        <v>1.97</v>
      </c>
      <c r="E542" s="2">
        <v>0.0</v>
      </c>
      <c r="F542" s="2">
        <v>0.92</v>
      </c>
      <c r="G542" s="2">
        <v>0.0</v>
      </c>
      <c r="H542" s="2">
        <v>0.0</v>
      </c>
    </row>
    <row r="543" ht="14.25" customHeight="1">
      <c r="A543" s="2" t="s">
        <v>116</v>
      </c>
      <c r="B543" s="2" t="s">
        <v>11</v>
      </c>
      <c r="C543" s="2" t="s">
        <v>15</v>
      </c>
      <c r="D543" s="2">
        <v>1.19</v>
      </c>
      <c r="E543" s="2">
        <v>0.0</v>
      </c>
      <c r="F543" s="2">
        <v>0.55</v>
      </c>
      <c r="G543" s="2">
        <v>0.0</v>
      </c>
      <c r="H543" s="2">
        <v>0.0</v>
      </c>
    </row>
    <row r="544" ht="14.25" customHeight="1">
      <c r="A544" s="2" t="s">
        <v>116</v>
      </c>
      <c r="B544" s="2" t="s">
        <v>11</v>
      </c>
      <c r="C544" s="2" t="s">
        <v>12</v>
      </c>
      <c r="D544" s="2">
        <v>0.0</v>
      </c>
      <c r="E544" s="2">
        <v>0.0</v>
      </c>
      <c r="F544" s="2">
        <v>0.0</v>
      </c>
      <c r="G544" s="2">
        <v>0.0</v>
      </c>
      <c r="H544" s="2">
        <v>0.0</v>
      </c>
    </row>
    <row r="545" ht="14.25" customHeight="1">
      <c r="A545" s="2" t="s">
        <v>116</v>
      </c>
      <c r="B545" s="2" t="s">
        <v>11</v>
      </c>
      <c r="C545" s="2" t="s">
        <v>16</v>
      </c>
      <c r="D545" s="2">
        <v>5.95</v>
      </c>
      <c r="E545" s="2">
        <v>0.0</v>
      </c>
      <c r="F545" s="2">
        <v>2.77</v>
      </c>
      <c r="G545" s="2">
        <v>0.0</v>
      </c>
      <c r="H545" s="2">
        <v>0.01</v>
      </c>
    </row>
    <row r="546" ht="14.25" customHeight="1">
      <c r="A546" s="2" t="s">
        <v>116</v>
      </c>
      <c r="B546" s="2" t="s">
        <v>11</v>
      </c>
      <c r="C546" s="2" t="s">
        <v>17</v>
      </c>
      <c r="D546" s="2">
        <v>0.0</v>
      </c>
      <c r="E546" s="2">
        <v>0.0</v>
      </c>
      <c r="F546" s="2">
        <v>0.0</v>
      </c>
      <c r="G546" s="2">
        <v>0.0</v>
      </c>
      <c r="H546" s="2">
        <v>0.0</v>
      </c>
    </row>
    <row r="547" ht="14.25" customHeight="1">
      <c r="A547" s="2" t="s">
        <v>116</v>
      </c>
      <c r="B547" s="2" t="s">
        <v>11</v>
      </c>
      <c r="C547" s="2" t="s">
        <v>10</v>
      </c>
      <c r="D547" s="2">
        <v>52.13</v>
      </c>
      <c r="E547" s="2">
        <v>0.0</v>
      </c>
      <c r="F547" s="2">
        <v>24.27</v>
      </c>
      <c r="G547" s="2">
        <v>0.02</v>
      </c>
      <c r="H547" s="2">
        <v>0.06</v>
      </c>
    </row>
    <row r="548" ht="14.25" customHeight="1">
      <c r="A548" s="2" t="s">
        <v>116</v>
      </c>
      <c r="B548" s="2" t="s">
        <v>18</v>
      </c>
      <c r="C548" s="2" t="s">
        <v>10</v>
      </c>
      <c r="D548" s="2">
        <v>0.0</v>
      </c>
      <c r="E548" s="2">
        <v>0.0</v>
      </c>
      <c r="F548" s="2">
        <v>0.0</v>
      </c>
      <c r="G548" s="2">
        <v>0.0</v>
      </c>
      <c r="H548" s="2">
        <v>0.0</v>
      </c>
    </row>
    <row r="549" ht="14.25" customHeight="1">
      <c r="A549" s="2" t="s">
        <v>118</v>
      </c>
      <c r="B549" s="2" t="s">
        <v>9</v>
      </c>
      <c r="C549" s="2" t="s">
        <v>10</v>
      </c>
      <c r="D549" s="2">
        <v>0.0</v>
      </c>
      <c r="E549" s="2">
        <v>0.0</v>
      </c>
      <c r="F549" s="2">
        <v>0.0</v>
      </c>
      <c r="G549" s="2">
        <v>0.0</v>
      </c>
      <c r="H549" s="2">
        <v>0.0</v>
      </c>
    </row>
    <row r="550" ht="14.25" customHeight="1">
      <c r="A550" s="2" t="s">
        <v>118</v>
      </c>
      <c r="B550" s="2" t="s">
        <v>11</v>
      </c>
      <c r="C550" s="2" t="s">
        <v>12</v>
      </c>
      <c r="D550" s="2">
        <v>13.15</v>
      </c>
      <c r="E550" s="2">
        <v>0.0</v>
      </c>
      <c r="F550" s="2">
        <v>6.12</v>
      </c>
      <c r="G550" s="2">
        <v>0.01</v>
      </c>
      <c r="H550" s="2">
        <v>0.01</v>
      </c>
    </row>
    <row r="551" ht="14.25" customHeight="1">
      <c r="A551" s="2" t="s">
        <v>118</v>
      </c>
      <c r="B551" s="2" t="s">
        <v>11</v>
      </c>
      <c r="C551" s="2" t="s">
        <v>12</v>
      </c>
      <c r="D551" s="2">
        <v>8.1</v>
      </c>
      <c r="E551" s="2">
        <v>0.0</v>
      </c>
      <c r="F551" s="2">
        <v>3.77</v>
      </c>
      <c r="G551" s="2">
        <v>0.0</v>
      </c>
      <c r="H551" s="2">
        <v>0.01</v>
      </c>
    </row>
    <row r="552" ht="14.25" customHeight="1">
      <c r="A552" s="2" t="s">
        <v>118</v>
      </c>
      <c r="B552" s="2" t="s">
        <v>11</v>
      </c>
      <c r="C552" s="2" t="s">
        <v>12</v>
      </c>
      <c r="D552" s="2">
        <v>4.82</v>
      </c>
      <c r="E552" s="2">
        <v>0.0</v>
      </c>
      <c r="F552" s="2">
        <v>2.25</v>
      </c>
      <c r="G552" s="2">
        <v>0.0</v>
      </c>
      <c r="H552" s="2">
        <v>0.01</v>
      </c>
    </row>
    <row r="553" ht="14.25" customHeight="1">
      <c r="A553" s="2" t="s">
        <v>118</v>
      </c>
      <c r="B553" s="2" t="s">
        <v>11</v>
      </c>
      <c r="C553" s="2" t="s">
        <v>13</v>
      </c>
      <c r="D553" s="2">
        <v>14.89</v>
      </c>
      <c r="E553" s="2">
        <v>0.0</v>
      </c>
      <c r="F553" s="2">
        <v>6.93</v>
      </c>
      <c r="G553" s="2">
        <v>0.01</v>
      </c>
      <c r="H553" s="2">
        <v>0.02</v>
      </c>
    </row>
    <row r="554" ht="14.25" customHeight="1">
      <c r="A554" s="2" t="s">
        <v>118</v>
      </c>
      <c r="B554" s="2" t="s">
        <v>11</v>
      </c>
      <c r="C554" s="2" t="s">
        <v>14</v>
      </c>
      <c r="D554" s="2">
        <v>2.06</v>
      </c>
      <c r="E554" s="2">
        <v>0.0</v>
      </c>
      <c r="F554" s="2">
        <v>0.96</v>
      </c>
      <c r="G554" s="2">
        <v>0.0</v>
      </c>
      <c r="H554" s="2">
        <v>0.0</v>
      </c>
    </row>
    <row r="555" ht="14.25" customHeight="1">
      <c r="A555" s="2" t="s">
        <v>118</v>
      </c>
      <c r="B555" s="2" t="s">
        <v>11</v>
      </c>
      <c r="C555" s="2" t="s">
        <v>117</v>
      </c>
      <c r="D555" s="2">
        <v>1.74</v>
      </c>
      <c r="E555" s="2">
        <v>0.0</v>
      </c>
      <c r="F555" s="2">
        <v>0.81</v>
      </c>
      <c r="G555" s="2">
        <v>0.0</v>
      </c>
      <c r="H555" s="2">
        <v>0.0</v>
      </c>
    </row>
    <row r="556" ht="14.25" customHeight="1">
      <c r="A556" s="2" t="s">
        <v>118</v>
      </c>
      <c r="B556" s="2" t="s">
        <v>11</v>
      </c>
      <c r="C556" s="2" t="s">
        <v>15</v>
      </c>
      <c r="D556" s="2">
        <v>1.19</v>
      </c>
      <c r="E556" s="2">
        <v>0.0</v>
      </c>
      <c r="F556" s="2">
        <v>0.55</v>
      </c>
      <c r="G556" s="2">
        <v>0.0</v>
      </c>
      <c r="H556" s="2">
        <v>0.0</v>
      </c>
    </row>
    <row r="557" ht="14.25" customHeight="1">
      <c r="A557" s="2" t="s">
        <v>118</v>
      </c>
      <c r="B557" s="2" t="s">
        <v>11</v>
      </c>
      <c r="C557" s="2" t="s">
        <v>16</v>
      </c>
      <c r="D557" s="2">
        <v>5.95</v>
      </c>
      <c r="E557" s="2">
        <v>0.0</v>
      </c>
      <c r="F557" s="2">
        <v>2.77</v>
      </c>
      <c r="G557" s="2">
        <v>0.0</v>
      </c>
      <c r="H557" s="2">
        <v>0.01</v>
      </c>
    </row>
    <row r="558" ht="14.25" customHeight="1">
      <c r="A558" s="2" t="s">
        <v>118</v>
      </c>
      <c r="B558" s="2" t="s">
        <v>11</v>
      </c>
      <c r="C558" s="2" t="s">
        <v>17</v>
      </c>
      <c r="D558" s="2">
        <v>0.0</v>
      </c>
      <c r="E558" s="2">
        <v>0.0</v>
      </c>
      <c r="F558" s="2">
        <v>0.0</v>
      </c>
      <c r="G558" s="2">
        <v>0.0</v>
      </c>
      <c r="H558" s="2">
        <v>0.0</v>
      </c>
    </row>
    <row r="559" ht="14.25" customHeight="1">
      <c r="A559" s="2" t="s">
        <v>118</v>
      </c>
      <c r="B559" s="2" t="s">
        <v>11</v>
      </c>
      <c r="C559" s="2" t="s">
        <v>10</v>
      </c>
      <c r="D559" s="2">
        <v>51.9</v>
      </c>
      <c r="E559" s="2">
        <v>0.0</v>
      </c>
      <c r="F559" s="2">
        <v>24.16</v>
      </c>
      <c r="G559" s="2">
        <v>0.02</v>
      </c>
      <c r="H559" s="2">
        <v>0.06</v>
      </c>
    </row>
    <row r="560" ht="14.25" customHeight="1">
      <c r="A560" s="2" t="s">
        <v>118</v>
      </c>
      <c r="B560" s="2" t="s">
        <v>18</v>
      </c>
      <c r="C560" s="2" t="s">
        <v>10</v>
      </c>
      <c r="D560" s="2">
        <v>0.0</v>
      </c>
      <c r="E560" s="2">
        <v>0.0</v>
      </c>
      <c r="F560" s="2">
        <v>0.0</v>
      </c>
      <c r="G560" s="2">
        <v>0.0</v>
      </c>
      <c r="H560" s="2">
        <v>0.0</v>
      </c>
    </row>
    <row r="561" ht="14.25" customHeight="1">
      <c r="A561" s="2" t="s">
        <v>119</v>
      </c>
      <c r="B561" s="2" t="s">
        <v>9</v>
      </c>
      <c r="C561" s="2" t="s">
        <v>10</v>
      </c>
      <c r="D561" s="2">
        <v>0.0</v>
      </c>
      <c r="E561" s="2">
        <v>0.0</v>
      </c>
      <c r="F561" s="2">
        <v>0.0</v>
      </c>
      <c r="G561" s="2">
        <v>0.0</v>
      </c>
      <c r="H561" s="2">
        <v>0.0</v>
      </c>
    </row>
    <row r="562" ht="14.25" customHeight="1">
      <c r="A562" s="2" t="s">
        <v>119</v>
      </c>
      <c r="B562" s="2" t="s">
        <v>11</v>
      </c>
      <c r="C562" s="2" t="s">
        <v>12</v>
      </c>
      <c r="D562" s="2">
        <v>13.15</v>
      </c>
      <c r="E562" s="2">
        <v>0.0</v>
      </c>
      <c r="F562" s="2">
        <v>6.12</v>
      </c>
      <c r="G562" s="2">
        <v>0.01</v>
      </c>
      <c r="H562" s="2">
        <v>0.01</v>
      </c>
    </row>
    <row r="563" ht="14.25" customHeight="1">
      <c r="A563" s="2" t="s">
        <v>119</v>
      </c>
      <c r="B563" s="2" t="s">
        <v>11</v>
      </c>
      <c r="C563" s="2" t="s">
        <v>12</v>
      </c>
      <c r="D563" s="2">
        <v>8.1</v>
      </c>
      <c r="E563" s="2">
        <v>0.0</v>
      </c>
      <c r="F563" s="2">
        <v>3.77</v>
      </c>
      <c r="G563" s="2">
        <v>0.0</v>
      </c>
      <c r="H563" s="2">
        <v>0.01</v>
      </c>
    </row>
    <row r="564" ht="14.25" customHeight="1">
      <c r="A564" s="2" t="s">
        <v>119</v>
      </c>
      <c r="B564" s="2" t="s">
        <v>11</v>
      </c>
      <c r="C564" s="2" t="s">
        <v>12</v>
      </c>
      <c r="D564" s="2">
        <v>4.82</v>
      </c>
      <c r="E564" s="2">
        <v>0.0</v>
      </c>
      <c r="F564" s="2">
        <v>2.25</v>
      </c>
      <c r="G564" s="2">
        <v>0.0</v>
      </c>
      <c r="H564" s="2">
        <v>0.01</v>
      </c>
    </row>
    <row r="565" ht="14.25" customHeight="1">
      <c r="A565" s="2" t="s">
        <v>119</v>
      </c>
      <c r="B565" s="2" t="s">
        <v>11</v>
      </c>
      <c r="C565" s="2" t="s">
        <v>13</v>
      </c>
      <c r="D565" s="2">
        <v>14.89</v>
      </c>
      <c r="E565" s="2">
        <v>0.0</v>
      </c>
      <c r="F565" s="2">
        <v>6.93</v>
      </c>
      <c r="G565" s="2">
        <v>0.01</v>
      </c>
      <c r="H565" s="2">
        <v>0.02</v>
      </c>
    </row>
    <row r="566" ht="14.25" customHeight="1">
      <c r="A566" s="2" t="s">
        <v>119</v>
      </c>
      <c r="B566" s="2" t="s">
        <v>11</v>
      </c>
      <c r="C566" s="2" t="s">
        <v>14</v>
      </c>
      <c r="D566" s="2">
        <v>2.06</v>
      </c>
      <c r="E566" s="2">
        <v>0.0</v>
      </c>
      <c r="F566" s="2">
        <v>0.96</v>
      </c>
      <c r="G566" s="2">
        <v>0.0</v>
      </c>
      <c r="H566" s="2">
        <v>0.0</v>
      </c>
    </row>
    <row r="567" ht="14.25" customHeight="1">
      <c r="A567" s="2" t="s">
        <v>119</v>
      </c>
      <c r="B567" s="2" t="s">
        <v>11</v>
      </c>
      <c r="C567" s="2" t="s">
        <v>117</v>
      </c>
      <c r="D567" s="2">
        <v>1.65</v>
      </c>
      <c r="E567" s="2">
        <v>0.0</v>
      </c>
      <c r="F567" s="2">
        <v>0.77</v>
      </c>
      <c r="G567" s="2">
        <v>0.0</v>
      </c>
      <c r="H567" s="2">
        <v>0.0</v>
      </c>
    </row>
    <row r="568" ht="14.25" customHeight="1">
      <c r="A568" s="2" t="s">
        <v>119</v>
      </c>
      <c r="B568" s="2" t="s">
        <v>11</v>
      </c>
      <c r="C568" s="2" t="s">
        <v>15</v>
      </c>
      <c r="D568" s="2">
        <v>1.19</v>
      </c>
      <c r="E568" s="2">
        <v>0.0</v>
      </c>
      <c r="F568" s="2">
        <v>0.55</v>
      </c>
      <c r="G568" s="2">
        <v>0.0</v>
      </c>
      <c r="H568" s="2">
        <v>0.0</v>
      </c>
    </row>
    <row r="569" ht="14.25" customHeight="1">
      <c r="A569" s="2" t="s">
        <v>119</v>
      </c>
      <c r="B569" s="2" t="s">
        <v>11</v>
      </c>
      <c r="C569" s="2" t="s">
        <v>16</v>
      </c>
      <c r="D569" s="2">
        <v>5.95</v>
      </c>
      <c r="E569" s="2">
        <v>0.0</v>
      </c>
      <c r="F569" s="2">
        <v>2.77</v>
      </c>
      <c r="G569" s="2">
        <v>0.0</v>
      </c>
      <c r="H569" s="2">
        <v>0.01</v>
      </c>
    </row>
    <row r="570" ht="14.25" customHeight="1">
      <c r="A570" s="2" t="s">
        <v>119</v>
      </c>
      <c r="B570" s="2" t="s">
        <v>11</v>
      </c>
      <c r="C570" s="2" t="s">
        <v>17</v>
      </c>
      <c r="D570" s="2">
        <v>0.0</v>
      </c>
      <c r="E570" s="2">
        <v>0.0</v>
      </c>
      <c r="F570" s="2">
        <v>0.0</v>
      </c>
      <c r="G570" s="2">
        <v>0.0</v>
      </c>
      <c r="H570" s="2">
        <v>0.0</v>
      </c>
    </row>
    <row r="571" ht="14.25" customHeight="1">
      <c r="A571" s="2" t="s">
        <v>119</v>
      </c>
      <c r="B571" s="2" t="s">
        <v>11</v>
      </c>
      <c r="C571" s="2" t="s">
        <v>10</v>
      </c>
      <c r="D571" s="2">
        <v>51.81</v>
      </c>
      <c r="E571" s="2">
        <v>0.0</v>
      </c>
      <c r="F571" s="2">
        <v>24.12</v>
      </c>
      <c r="G571" s="2">
        <v>0.02</v>
      </c>
      <c r="H571" s="2">
        <v>0.06</v>
      </c>
    </row>
    <row r="572" ht="14.25" customHeight="1">
      <c r="A572" s="2" t="s">
        <v>119</v>
      </c>
      <c r="B572" s="2" t="s">
        <v>18</v>
      </c>
      <c r="C572" s="2" t="s">
        <v>10</v>
      </c>
      <c r="D572" s="2">
        <v>0.0</v>
      </c>
      <c r="E572" s="2">
        <v>0.0</v>
      </c>
      <c r="F572" s="2">
        <v>0.0</v>
      </c>
      <c r="G572" s="2">
        <v>0.0</v>
      </c>
      <c r="H572" s="2">
        <v>0.0</v>
      </c>
    </row>
    <row r="573" ht="14.25" customHeight="1">
      <c r="A573" s="2" t="s">
        <v>120</v>
      </c>
      <c r="B573" s="2" t="s">
        <v>9</v>
      </c>
      <c r="C573" s="2" t="s">
        <v>10</v>
      </c>
      <c r="D573" s="2">
        <v>0.0</v>
      </c>
      <c r="E573" s="2">
        <v>0.0</v>
      </c>
      <c r="F573" s="2">
        <v>0.0</v>
      </c>
      <c r="G573" s="2">
        <v>0.0</v>
      </c>
      <c r="H573" s="2">
        <v>0.0</v>
      </c>
    </row>
    <row r="574" ht="14.25" customHeight="1">
      <c r="A574" s="2" t="s">
        <v>120</v>
      </c>
      <c r="B574" s="2" t="s">
        <v>11</v>
      </c>
      <c r="C574" s="2" t="s">
        <v>12</v>
      </c>
      <c r="D574" s="2">
        <v>6.98</v>
      </c>
      <c r="E574" s="2">
        <v>0.0</v>
      </c>
      <c r="F574" s="2">
        <v>3.25</v>
      </c>
      <c r="G574" s="2">
        <v>0.0</v>
      </c>
      <c r="H574" s="2">
        <v>0.01</v>
      </c>
    </row>
    <row r="575" ht="14.25" customHeight="1">
      <c r="A575" s="2" t="s">
        <v>120</v>
      </c>
      <c r="B575" s="2" t="s">
        <v>11</v>
      </c>
      <c r="C575" s="2" t="s">
        <v>12</v>
      </c>
      <c r="D575" s="2">
        <v>4.31</v>
      </c>
      <c r="E575" s="2">
        <v>0.0</v>
      </c>
      <c r="F575" s="2">
        <v>2.01</v>
      </c>
      <c r="G575" s="2">
        <v>0.0</v>
      </c>
      <c r="H575" s="2">
        <v>0.0</v>
      </c>
    </row>
    <row r="576" ht="14.25" customHeight="1">
      <c r="A576" s="2" t="s">
        <v>120</v>
      </c>
      <c r="B576" s="2" t="s">
        <v>11</v>
      </c>
      <c r="C576" s="2" t="s">
        <v>12</v>
      </c>
      <c r="D576" s="2">
        <v>2.55</v>
      </c>
      <c r="E576" s="2">
        <v>0.0</v>
      </c>
      <c r="F576" s="2">
        <v>1.19</v>
      </c>
      <c r="G576" s="2">
        <v>0.0</v>
      </c>
      <c r="H576" s="2">
        <v>0.0</v>
      </c>
    </row>
    <row r="577" ht="14.25" customHeight="1">
      <c r="A577" s="2" t="s">
        <v>120</v>
      </c>
      <c r="B577" s="2" t="s">
        <v>11</v>
      </c>
      <c r="C577" s="2" t="s">
        <v>13</v>
      </c>
      <c r="D577" s="2">
        <v>7.92</v>
      </c>
      <c r="E577" s="2">
        <v>0.0</v>
      </c>
      <c r="F577" s="2">
        <v>3.69</v>
      </c>
      <c r="G577" s="2">
        <v>0.0</v>
      </c>
      <c r="H577" s="2">
        <v>0.01</v>
      </c>
    </row>
    <row r="578" ht="14.25" customHeight="1">
      <c r="A578" s="2" t="s">
        <v>120</v>
      </c>
      <c r="B578" s="2" t="s">
        <v>11</v>
      </c>
      <c r="C578" s="2" t="s">
        <v>14</v>
      </c>
      <c r="D578" s="2">
        <v>1.3</v>
      </c>
      <c r="E578" s="2">
        <v>0.0</v>
      </c>
      <c r="F578" s="2">
        <v>0.61</v>
      </c>
      <c r="G578" s="2">
        <v>0.0</v>
      </c>
      <c r="H578" s="2">
        <v>0.0</v>
      </c>
    </row>
    <row r="579" ht="14.25" customHeight="1">
      <c r="A579" s="2" t="s">
        <v>120</v>
      </c>
      <c r="B579" s="2" t="s">
        <v>11</v>
      </c>
      <c r="C579" s="2" t="s">
        <v>117</v>
      </c>
      <c r="D579" s="2">
        <v>0.92</v>
      </c>
      <c r="E579" s="2">
        <v>0.0</v>
      </c>
      <c r="F579" s="2">
        <v>0.43</v>
      </c>
      <c r="G579" s="2">
        <v>0.0</v>
      </c>
      <c r="H579" s="2">
        <v>0.0</v>
      </c>
    </row>
    <row r="580" ht="14.25" customHeight="1">
      <c r="A580" s="2" t="s">
        <v>120</v>
      </c>
      <c r="B580" s="2" t="s">
        <v>11</v>
      </c>
      <c r="C580" s="2" t="s">
        <v>15</v>
      </c>
      <c r="D580" s="2">
        <v>0.69</v>
      </c>
      <c r="E580" s="2">
        <v>0.0</v>
      </c>
      <c r="F580" s="2">
        <v>0.32</v>
      </c>
      <c r="G580" s="2">
        <v>0.0</v>
      </c>
      <c r="H580" s="2">
        <v>0.0</v>
      </c>
    </row>
    <row r="581" ht="14.25" customHeight="1">
      <c r="A581" s="2" t="s">
        <v>120</v>
      </c>
      <c r="B581" s="2" t="s">
        <v>11</v>
      </c>
      <c r="C581" s="2" t="s">
        <v>16</v>
      </c>
      <c r="D581" s="2">
        <v>2.86</v>
      </c>
      <c r="E581" s="2">
        <v>0.0</v>
      </c>
      <c r="F581" s="2">
        <v>1.33</v>
      </c>
      <c r="G581" s="2">
        <v>0.0</v>
      </c>
      <c r="H581" s="2">
        <v>0.0</v>
      </c>
    </row>
    <row r="582" ht="14.25" customHeight="1">
      <c r="A582" s="2" t="s">
        <v>120</v>
      </c>
      <c r="B582" s="2" t="s">
        <v>11</v>
      </c>
      <c r="C582" s="2" t="s">
        <v>17</v>
      </c>
      <c r="D582" s="2">
        <v>0.0</v>
      </c>
      <c r="E582" s="2">
        <v>0.0</v>
      </c>
      <c r="F582" s="2">
        <v>0.0</v>
      </c>
      <c r="G582" s="2">
        <v>0.0</v>
      </c>
      <c r="H582" s="2">
        <v>0.0</v>
      </c>
    </row>
    <row r="583" ht="14.25" customHeight="1">
      <c r="A583" s="2" t="s">
        <v>120</v>
      </c>
      <c r="B583" s="2" t="s">
        <v>11</v>
      </c>
      <c r="C583" s="2" t="s">
        <v>10</v>
      </c>
      <c r="D583" s="2">
        <v>27.53</v>
      </c>
      <c r="E583" s="2">
        <v>0.0</v>
      </c>
      <c r="F583" s="2">
        <v>12.83</v>
      </c>
      <c r="G583" s="2">
        <v>0.0</v>
      </c>
      <c r="H583" s="2">
        <v>0.02</v>
      </c>
    </row>
    <row r="584" ht="14.25" customHeight="1">
      <c r="A584" s="2" t="s">
        <v>120</v>
      </c>
      <c r="B584" s="2" t="s">
        <v>18</v>
      </c>
      <c r="C584" s="2" t="s">
        <v>10</v>
      </c>
      <c r="D584" s="2">
        <v>0.0</v>
      </c>
      <c r="E584" s="2">
        <v>0.0</v>
      </c>
      <c r="F584" s="2">
        <v>0.0</v>
      </c>
      <c r="G584" s="2">
        <v>0.0</v>
      </c>
      <c r="H584" s="2">
        <v>0.0</v>
      </c>
    </row>
    <row r="585" ht="14.25" customHeight="1">
      <c r="A585" s="2" t="s">
        <v>121</v>
      </c>
      <c r="B585" s="2" t="s">
        <v>53</v>
      </c>
      <c r="C585" s="2" t="s">
        <v>54</v>
      </c>
      <c r="D585" s="2">
        <v>0.0</v>
      </c>
      <c r="E585" s="2">
        <v>0.0</v>
      </c>
      <c r="F585" s="2">
        <v>0.0</v>
      </c>
      <c r="G585" s="2">
        <v>0.0</v>
      </c>
      <c r="H585" s="2">
        <v>0.0</v>
      </c>
    </row>
    <row r="586" ht="14.25" customHeight="1">
      <c r="A586" s="2" t="s">
        <v>121</v>
      </c>
      <c r="B586" s="2" t="s">
        <v>53</v>
      </c>
      <c r="C586" s="2" t="s">
        <v>54</v>
      </c>
      <c r="D586" s="2">
        <v>0.0</v>
      </c>
      <c r="E586" s="2">
        <v>0.0</v>
      </c>
      <c r="F586" s="2">
        <v>0.0</v>
      </c>
      <c r="G586" s="2">
        <v>0.0</v>
      </c>
      <c r="H586" s="2">
        <v>0.0</v>
      </c>
    </row>
    <row r="587" ht="14.25" customHeight="1">
      <c r="A587" s="2" t="s">
        <v>121</v>
      </c>
      <c r="B587" s="2" t="s">
        <v>53</v>
      </c>
      <c r="C587" s="2" t="s">
        <v>54</v>
      </c>
      <c r="D587" s="2">
        <v>0.0</v>
      </c>
      <c r="E587" s="2">
        <v>0.0</v>
      </c>
      <c r="F587" s="2">
        <v>0.0</v>
      </c>
      <c r="G587" s="2">
        <v>0.0</v>
      </c>
      <c r="H587" s="2">
        <v>0.0</v>
      </c>
    </row>
    <row r="588" ht="14.25" customHeight="1">
      <c r="A588" s="2" t="s">
        <v>121</v>
      </c>
      <c r="B588" s="2" t="s">
        <v>53</v>
      </c>
      <c r="C588" s="2" t="s">
        <v>122</v>
      </c>
      <c r="D588" s="2">
        <v>0.0</v>
      </c>
      <c r="E588" s="2">
        <v>0.0</v>
      </c>
      <c r="F588" s="2">
        <v>0.0</v>
      </c>
      <c r="G588" s="2">
        <v>0.0</v>
      </c>
      <c r="H588" s="2">
        <v>0.0</v>
      </c>
    </row>
    <row r="589" ht="14.25" customHeight="1">
      <c r="A589" s="2" t="s">
        <v>121</v>
      </c>
      <c r="B589" s="2" t="s">
        <v>53</v>
      </c>
      <c r="C589" s="2" t="s">
        <v>123</v>
      </c>
      <c r="D589" s="2">
        <v>0.0</v>
      </c>
      <c r="E589" s="2">
        <v>0.0</v>
      </c>
      <c r="F589" s="2">
        <v>0.0</v>
      </c>
      <c r="G589" s="2">
        <v>0.0</v>
      </c>
      <c r="H589" s="2">
        <v>0.0</v>
      </c>
    </row>
    <row r="590" ht="14.25" customHeight="1">
      <c r="A590" s="2" t="s">
        <v>121</v>
      </c>
      <c r="B590" s="2" t="s">
        <v>53</v>
      </c>
      <c r="C590" s="2" t="s">
        <v>124</v>
      </c>
      <c r="D590" s="2">
        <v>4.69</v>
      </c>
      <c r="E590" s="2">
        <v>0.0</v>
      </c>
      <c r="F590" s="2">
        <v>3.65</v>
      </c>
      <c r="G590" s="2">
        <v>0.01</v>
      </c>
      <c r="H590" s="2">
        <v>0.0</v>
      </c>
    </row>
    <row r="591" ht="14.25" customHeight="1">
      <c r="A591" s="2" t="s">
        <v>121</v>
      </c>
      <c r="B591" s="2" t="s">
        <v>53</v>
      </c>
      <c r="C591" s="2" t="s">
        <v>55</v>
      </c>
      <c r="D591" s="2">
        <v>0.0</v>
      </c>
      <c r="E591" s="2">
        <v>0.0</v>
      </c>
      <c r="F591" s="2">
        <v>0.0</v>
      </c>
      <c r="G591" s="2">
        <v>0.0</v>
      </c>
      <c r="H591" s="2">
        <v>0.0</v>
      </c>
    </row>
    <row r="592" ht="14.25" customHeight="1">
      <c r="A592" s="2" t="s">
        <v>121</v>
      </c>
      <c r="B592" s="2" t="s">
        <v>53</v>
      </c>
      <c r="C592" s="2" t="s">
        <v>10</v>
      </c>
      <c r="D592" s="2">
        <v>4.69</v>
      </c>
      <c r="E592" s="2">
        <v>0.0</v>
      </c>
      <c r="F592" s="2">
        <v>3.65</v>
      </c>
      <c r="G592" s="2">
        <v>0.01</v>
      </c>
      <c r="H592" s="2">
        <v>0.0</v>
      </c>
    </row>
    <row r="593" ht="14.25" customHeight="1">
      <c r="A593" s="2" t="s">
        <v>121</v>
      </c>
      <c r="B593" s="2" t="s">
        <v>18</v>
      </c>
      <c r="C593" s="2" t="s">
        <v>10</v>
      </c>
      <c r="D593" s="2">
        <v>0.0</v>
      </c>
      <c r="E593" s="2">
        <v>0.0</v>
      </c>
      <c r="F593" s="2">
        <v>0.0</v>
      </c>
      <c r="G593" s="2">
        <v>0.0</v>
      </c>
      <c r="H593" s="2">
        <v>0.0</v>
      </c>
    </row>
    <row r="594" ht="14.25" customHeight="1">
      <c r="A594" s="2" t="s">
        <v>125</v>
      </c>
      <c r="B594" s="2" t="s">
        <v>21</v>
      </c>
      <c r="C594" s="2" t="s">
        <v>41</v>
      </c>
      <c r="D594" s="2">
        <v>0.0</v>
      </c>
      <c r="E594" s="2">
        <v>0.0</v>
      </c>
      <c r="F594" s="2">
        <v>0.0</v>
      </c>
      <c r="G594" s="2">
        <v>0.0</v>
      </c>
      <c r="H594" s="2">
        <v>0.0</v>
      </c>
    </row>
    <row r="595" ht="14.25" customHeight="1">
      <c r="A595" s="2" t="s">
        <v>125</v>
      </c>
      <c r="B595" s="2" t="s">
        <v>21</v>
      </c>
      <c r="C595" s="2" t="s">
        <v>41</v>
      </c>
      <c r="D595" s="2">
        <v>0.0</v>
      </c>
      <c r="E595" s="2">
        <v>0.0</v>
      </c>
      <c r="F595" s="2">
        <v>0.0</v>
      </c>
      <c r="G595" s="2">
        <v>0.0</v>
      </c>
      <c r="H595" s="2">
        <v>0.0</v>
      </c>
    </row>
    <row r="596" ht="14.25" customHeight="1">
      <c r="A596" s="2" t="s">
        <v>125</v>
      </c>
      <c r="B596" s="2" t="s">
        <v>21</v>
      </c>
      <c r="C596" s="2" t="s">
        <v>42</v>
      </c>
      <c r="D596" s="2">
        <v>0.17</v>
      </c>
      <c r="E596" s="2">
        <v>0.0</v>
      </c>
      <c r="F596" s="2">
        <v>0.42</v>
      </c>
      <c r="G596" s="2">
        <v>0.0</v>
      </c>
      <c r="H596" s="2">
        <v>0.0</v>
      </c>
    </row>
    <row r="597" ht="14.25" customHeight="1">
      <c r="A597" s="2" t="s">
        <v>125</v>
      </c>
      <c r="B597" s="2" t="s">
        <v>21</v>
      </c>
      <c r="C597" s="2" t="s">
        <v>43</v>
      </c>
      <c r="D597" s="2">
        <v>0.02</v>
      </c>
      <c r="E597" s="2">
        <v>0.0</v>
      </c>
      <c r="F597" s="2">
        <v>0.06</v>
      </c>
      <c r="G597" s="2">
        <v>0.0</v>
      </c>
      <c r="H597" s="2">
        <v>0.0</v>
      </c>
    </row>
    <row r="598" ht="14.25" customHeight="1">
      <c r="A598" s="2" t="s">
        <v>125</v>
      </c>
      <c r="B598" s="2" t="s">
        <v>21</v>
      </c>
      <c r="C598" s="2" t="s">
        <v>57</v>
      </c>
      <c r="D598" s="2">
        <v>0.0</v>
      </c>
      <c r="E598" s="2">
        <v>0.0</v>
      </c>
      <c r="F598" s="2">
        <v>0.0</v>
      </c>
      <c r="G598" s="2">
        <v>0.0</v>
      </c>
      <c r="H598" s="2">
        <v>0.0</v>
      </c>
    </row>
    <row r="599" ht="14.25" customHeight="1">
      <c r="A599" s="2" t="s">
        <v>125</v>
      </c>
      <c r="B599" s="2" t="s">
        <v>21</v>
      </c>
      <c r="C599" s="2" t="s">
        <v>58</v>
      </c>
      <c r="D599" s="2">
        <v>0.0</v>
      </c>
      <c r="E599" s="2">
        <v>0.0</v>
      </c>
      <c r="F599" s="2">
        <v>0.0</v>
      </c>
      <c r="G599" s="2">
        <v>0.0</v>
      </c>
      <c r="H599" s="2">
        <v>0.0</v>
      </c>
    </row>
    <row r="600" ht="14.25" customHeight="1">
      <c r="A600" s="2" t="s">
        <v>125</v>
      </c>
      <c r="B600" s="2" t="s">
        <v>21</v>
      </c>
      <c r="C600" s="2" t="s">
        <v>44</v>
      </c>
      <c r="D600" s="2">
        <v>0.0</v>
      </c>
      <c r="E600" s="2">
        <v>0.0</v>
      </c>
      <c r="F600" s="2">
        <v>0.0</v>
      </c>
      <c r="G600" s="2">
        <v>0.0</v>
      </c>
      <c r="H600" s="2">
        <v>0.0</v>
      </c>
    </row>
    <row r="601" ht="14.25" customHeight="1">
      <c r="A601" s="2" t="s">
        <v>125</v>
      </c>
      <c r="B601" s="2" t="s">
        <v>21</v>
      </c>
      <c r="C601" s="2" t="s">
        <v>45</v>
      </c>
      <c r="D601" s="2">
        <v>0.0</v>
      </c>
      <c r="E601" s="2">
        <v>0.0</v>
      </c>
      <c r="F601" s="2">
        <v>0.0</v>
      </c>
      <c r="G601" s="2">
        <v>0.0</v>
      </c>
      <c r="H601" s="2">
        <v>0.0</v>
      </c>
    </row>
    <row r="602" ht="14.25" customHeight="1">
      <c r="A602" s="2" t="s">
        <v>125</v>
      </c>
      <c r="B602" s="2" t="s">
        <v>21</v>
      </c>
      <c r="C602" s="2" t="s">
        <v>59</v>
      </c>
      <c r="D602" s="2">
        <v>0.0</v>
      </c>
      <c r="E602" s="2">
        <v>0.0</v>
      </c>
      <c r="F602" s="2">
        <v>0.0</v>
      </c>
      <c r="G602" s="2">
        <v>0.0</v>
      </c>
      <c r="H602" s="2">
        <v>0.0</v>
      </c>
    </row>
    <row r="603" ht="14.25" customHeight="1">
      <c r="A603" s="2" t="s">
        <v>125</v>
      </c>
      <c r="B603" s="2" t="s">
        <v>21</v>
      </c>
      <c r="C603" s="2" t="s">
        <v>10</v>
      </c>
      <c r="D603" s="2">
        <v>0.19</v>
      </c>
      <c r="E603" s="2">
        <v>0.0</v>
      </c>
      <c r="F603" s="2">
        <v>0.48</v>
      </c>
      <c r="G603" s="2">
        <v>0.0</v>
      </c>
      <c r="H603" s="2">
        <v>0.0</v>
      </c>
    </row>
    <row r="604" ht="14.25" customHeight="1">
      <c r="A604" s="2" t="s">
        <v>125</v>
      </c>
      <c r="B604" s="2" t="s">
        <v>22</v>
      </c>
      <c r="C604" s="2" t="s">
        <v>60</v>
      </c>
      <c r="D604" s="2">
        <v>0.0</v>
      </c>
      <c r="E604" s="2">
        <v>0.0</v>
      </c>
      <c r="F604" s="2">
        <v>0.0</v>
      </c>
      <c r="G604" s="2">
        <v>0.0</v>
      </c>
      <c r="H604" s="2">
        <v>0.0</v>
      </c>
    </row>
    <row r="605" ht="14.25" customHeight="1">
      <c r="A605" s="2" t="s">
        <v>125</v>
      </c>
      <c r="B605" s="2" t="s">
        <v>22</v>
      </c>
      <c r="C605" s="2" t="s">
        <v>61</v>
      </c>
      <c r="D605" s="2">
        <v>0.46</v>
      </c>
      <c r="E605" s="2">
        <v>0.0</v>
      </c>
      <c r="F605" s="2">
        <v>1.11</v>
      </c>
      <c r="G605" s="2">
        <v>0.0</v>
      </c>
      <c r="H605" s="2">
        <v>0.01</v>
      </c>
    </row>
    <row r="606" ht="14.25" customHeight="1">
      <c r="A606" s="2" t="s">
        <v>125</v>
      </c>
      <c r="B606" s="2" t="s">
        <v>22</v>
      </c>
      <c r="C606" s="2" t="s">
        <v>62</v>
      </c>
      <c r="D606" s="2">
        <v>0.17</v>
      </c>
      <c r="E606" s="2">
        <v>0.0</v>
      </c>
      <c r="F606" s="2">
        <v>0.42</v>
      </c>
      <c r="G606" s="2">
        <v>0.0</v>
      </c>
      <c r="H606" s="2">
        <v>0.0</v>
      </c>
    </row>
    <row r="607" ht="14.25" customHeight="1">
      <c r="A607" s="2" t="s">
        <v>125</v>
      </c>
      <c r="B607" s="2" t="s">
        <v>22</v>
      </c>
      <c r="C607" s="2" t="s">
        <v>63</v>
      </c>
      <c r="D607" s="2">
        <v>0.0</v>
      </c>
      <c r="E607" s="2">
        <v>0.0</v>
      </c>
      <c r="F607" s="2">
        <v>0.0</v>
      </c>
      <c r="G607" s="2">
        <v>0.0</v>
      </c>
      <c r="H607" s="2">
        <v>0.0</v>
      </c>
    </row>
    <row r="608" ht="14.25" customHeight="1">
      <c r="A608" s="2" t="s">
        <v>125</v>
      </c>
      <c r="B608" s="2" t="s">
        <v>22</v>
      </c>
      <c r="C608" s="2" t="s">
        <v>64</v>
      </c>
      <c r="D608" s="2">
        <v>0.0</v>
      </c>
      <c r="E608" s="2">
        <v>0.0</v>
      </c>
      <c r="F608" s="2">
        <v>0.0</v>
      </c>
      <c r="G608" s="2">
        <v>0.0</v>
      </c>
      <c r="H608" s="2">
        <v>0.0</v>
      </c>
    </row>
    <row r="609" ht="14.25" customHeight="1">
      <c r="A609" s="2" t="s">
        <v>125</v>
      </c>
      <c r="B609" s="2" t="s">
        <v>22</v>
      </c>
      <c r="C609" s="2" t="s">
        <v>65</v>
      </c>
      <c r="D609" s="2">
        <v>0.0</v>
      </c>
      <c r="E609" s="2">
        <v>0.0</v>
      </c>
      <c r="F609" s="2">
        <v>0.0</v>
      </c>
      <c r="G609" s="2">
        <v>0.0</v>
      </c>
      <c r="H609" s="2">
        <v>0.0</v>
      </c>
    </row>
    <row r="610" ht="14.25" customHeight="1">
      <c r="A610" s="2" t="s">
        <v>125</v>
      </c>
      <c r="B610" s="2" t="s">
        <v>22</v>
      </c>
      <c r="C610" s="2" t="s">
        <v>65</v>
      </c>
      <c r="D610" s="2">
        <v>0.0</v>
      </c>
      <c r="E610" s="2">
        <v>0.0</v>
      </c>
      <c r="F610" s="2">
        <v>0.0</v>
      </c>
      <c r="G610" s="2">
        <v>0.0</v>
      </c>
      <c r="H610" s="2">
        <v>0.0</v>
      </c>
    </row>
    <row r="611" ht="14.25" customHeight="1">
      <c r="A611" s="2" t="s">
        <v>125</v>
      </c>
      <c r="B611" s="2" t="s">
        <v>22</v>
      </c>
      <c r="C611" s="2" t="s">
        <v>66</v>
      </c>
      <c r="D611" s="2">
        <v>0.0</v>
      </c>
      <c r="E611" s="2">
        <v>0.0</v>
      </c>
      <c r="F611" s="2">
        <v>0.0</v>
      </c>
      <c r="G611" s="2">
        <v>0.0</v>
      </c>
      <c r="H611" s="2">
        <v>0.0</v>
      </c>
    </row>
    <row r="612" ht="14.25" customHeight="1">
      <c r="A612" s="2" t="s">
        <v>125</v>
      </c>
      <c r="B612" s="2" t="s">
        <v>22</v>
      </c>
      <c r="C612" s="2" t="s">
        <v>67</v>
      </c>
      <c r="D612" s="2">
        <v>0.0</v>
      </c>
      <c r="E612" s="2">
        <v>0.0</v>
      </c>
      <c r="F612" s="2">
        <v>0.0</v>
      </c>
      <c r="G612" s="2">
        <v>0.0</v>
      </c>
      <c r="H612" s="2">
        <v>0.0</v>
      </c>
    </row>
    <row r="613" ht="14.25" customHeight="1">
      <c r="A613" s="2" t="s">
        <v>125</v>
      </c>
      <c r="B613" s="2" t="s">
        <v>22</v>
      </c>
      <c r="C613" s="2" t="s">
        <v>68</v>
      </c>
      <c r="D613" s="2">
        <v>0.0</v>
      </c>
      <c r="E613" s="2">
        <v>0.0</v>
      </c>
      <c r="F613" s="2">
        <v>0.0</v>
      </c>
      <c r="G613" s="2">
        <v>0.0</v>
      </c>
      <c r="H613" s="2">
        <v>0.0</v>
      </c>
    </row>
    <row r="614" ht="14.25" customHeight="1">
      <c r="A614" s="2" t="s">
        <v>125</v>
      </c>
      <c r="B614" s="2" t="s">
        <v>22</v>
      </c>
      <c r="C614" s="2" t="s">
        <v>10</v>
      </c>
      <c r="D614" s="2">
        <v>0.63</v>
      </c>
      <c r="E614" s="2">
        <v>0.0</v>
      </c>
      <c r="F614" s="2">
        <v>1.53</v>
      </c>
      <c r="G614" s="2">
        <v>0.0</v>
      </c>
      <c r="H614" s="2">
        <v>0.01</v>
      </c>
    </row>
    <row r="615" ht="14.25" customHeight="1">
      <c r="A615" s="2" t="s">
        <v>125</v>
      </c>
      <c r="B615" s="2" t="s">
        <v>23</v>
      </c>
      <c r="C615" s="2" t="s">
        <v>10</v>
      </c>
      <c r="D615" s="2">
        <v>0.0</v>
      </c>
      <c r="E615" s="2">
        <v>0.0</v>
      </c>
      <c r="F615" s="2">
        <v>0.0</v>
      </c>
      <c r="G615" s="2">
        <v>0.0</v>
      </c>
      <c r="H615" s="2">
        <v>0.0</v>
      </c>
    </row>
    <row r="616" ht="14.25" customHeight="1">
      <c r="A616" s="2" t="s">
        <v>125</v>
      </c>
      <c r="B616" s="2" t="s">
        <v>29</v>
      </c>
      <c r="C616" s="2" t="s">
        <v>10</v>
      </c>
      <c r="D616" s="2">
        <v>0.0</v>
      </c>
      <c r="E616" s="2">
        <v>0.0</v>
      </c>
      <c r="F616" s="2">
        <v>0.0</v>
      </c>
      <c r="G616" s="2">
        <v>0.0</v>
      </c>
      <c r="H616" s="2">
        <v>0.0</v>
      </c>
    </row>
    <row r="617" ht="14.25" customHeight="1">
      <c r="A617" s="2" t="s">
        <v>125</v>
      </c>
      <c r="B617" s="2" t="s">
        <v>18</v>
      </c>
      <c r="C617" s="2" t="s">
        <v>10</v>
      </c>
      <c r="D617" s="2">
        <v>0.0</v>
      </c>
      <c r="E617" s="2">
        <v>0.0</v>
      </c>
      <c r="F617" s="2">
        <v>0.0</v>
      </c>
      <c r="G617" s="2">
        <v>0.0</v>
      </c>
      <c r="H617" s="2">
        <v>0.0</v>
      </c>
    </row>
    <row r="618" ht="14.25" customHeight="1">
      <c r="A618" s="2" t="s">
        <v>126</v>
      </c>
      <c r="B618" s="2" t="s">
        <v>70</v>
      </c>
      <c r="C618" s="2" t="s">
        <v>54</v>
      </c>
      <c r="D618" s="2">
        <v>0.0</v>
      </c>
      <c r="E618" s="2">
        <v>0.0</v>
      </c>
      <c r="F618" s="2">
        <v>0.0</v>
      </c>
      <c r="G618" s="2">
        <v>0.0</v>
      </c>
      <c r="H618" s="2">
        <v>0.0</v>
      </c>
    </row>
    <row r="619" ht="14.25" customHeight="1">
      <c r="A619" s="2" t="s">
        <v>126</v>
      </c>
      <c r="B619" s="2" t="s">
        <v>70</v>
      </c>
      <c r="C619" s="2" t="s">
        <v>122</v>
      </c>
      <c r="D619" s="2">
        <v>0.0</v>
      </c>
      <c r="E619" s="2">
        <v>0.0</v>
      </c>
      <c r="F619" s="2">
        <v>0.0</v>
      </c>
      <c r="G619" s="2">
        <v>0.0</v>
      </c>
      <c r="H619" s="2">
        <v>0.0</v>
      </c>
    </row>
    <row r="620" ht="14.25" customHeight="1">
      <c r="A620" s="2" t="s">
        <v>126</v>
      </c>
      <c r="B620" s="2" t="s">
        <v>70</v>
      </c>
      <c r="C620" s="2" t="s">
        <v>124</v>
      </c>
      <c r="D620" s="2">
        <v>2.34</v>
      </c>
      <c r="E620" s="2">
        <v>0.0</v>
      </c>
      <c r="F620" s="2">
        <v>1.83</v>
      </c>
      <c r="G620" s="2">
        <v>0.0</v>
      </c>
      <c r="H620" s="2">
        <v>0.0</v>
      </c>
    </row>
    <row r="621" ht="14.25" customHeight="1">
      <c r="A621" s="2" t="s">
        <v>126</v>
      </c>
      <c r="B621" s="2" t="s">
        <v>70</v>
      </c>
      <c r="C621" s="2" t="s">
        <v>55</v>
      </c>
      <c r="D621" s="2">
        <v>0.0</v>
      </c>
      <c r="E621" s="2">
        <v>0.0</v>
      </c>
      <c r="F621" s="2">
        <v>0.0</v>
      </c>
      <c r="G621" s="2">
        <v>0.0</v>
      </c>
      <c r="H621" s="2">
        <v>0.0</v>
      </c>
    </row>
    <row r="622" ht="14.25" customHeight="1">
      <c r="A622" s="2" t="s">
        <v>126</v>
      </c>
      <c r="B622" s="2" t="s">
        <v>70</v>
      </c>
      <c r="C622" s="2" t="s">
        <v>10</v>
      </c>
      <c r="D622" s="2">
        <v>2.34</v>
      </c>
      <c r="E622" s="2">
        <v>0.0</v>
      </c>
      <c r="F622" s="2">
        <v>1.83</v>
      </c>
      <c r="G622" s="2">
        <v>0.0</v>
      </c>
      <c r="H622" s="2">
        <v>0.0</v>
      </c>
    </row>
    <row r="623" ht="14.25" customHeight="1">
      <c r="A623" s="2" t="s">
        <v>126</v>
      </c>
      <c r="B623" s="2" t="s">
        <v>18</v>
      </c>
      <c r="C623" s="2" t="s">
        <v>10</v>
      </c>
      <c r="D623" s="2">
        <v>0.0</v>
      </c>
      <c r="E623" s="2">
        <v>0.0</v>
      </c>
      <c r="F623" s="2">
        <v>0.0</v>
      </c>
      <c r="G623" s="2">
        <v>0.0</v>
      </c>
      <c r="H623" s="2">
        <v>0.0</v>
      </c>
    </row>
    <row r="624" ht="14.25" customHeight="1">
      <c r="A624" s="2" t="s">
        <v>127</v>
      </c>
      <c r="B624" s="2" t="s">
        <v>53</v>
      </c>
      <c r="C624" s="2" t="s">
        <v>54</v>
      </c>
      <c r="D624" s="2">
        <v>0.23</v>
      </c>
      <c r="E624" s="2">
        <v>0.0</v>
      </c>
      <c r="F624" s="2">
        <v>0.11</v>
      </c>
      <c r="G624" s="2">
        <v>0.0</v>
      </c>
      <c r="H624" s="2">
        <v>0.0</v>
      </c>
    </row>
    <row r="625" ht="14.25" customHeight="1">
      <c r="A625" s="2" t="s">
        <v>127</v>
      </c>
      <c r="B625" s="2" t="s">
        <v>53</v>
      </c>
      <c r="C625" s="2" t="s">
        <v>54</v>
      </c>
      <c r="D625" s="2">
        <v>0.0</v>
      </c>
      <c r="E625" s="2">
        <v>0.0</v>
      </c>
      <c r="F625" s="2">
        <v>0.0</v>
      </c>
      <c r="G625" s="2">
        <v>0.0</v>
      </c>
      <c r="H625" s="2">
        <v>0.0</v>
      </c>
    </row>
    <row r="626" ht="14.25" customHeight="1">
      <c r="A626" s="2" t="s">
        <v>127</v>
      </c>
      <c r="B626" s="2" t="s">
        <v>53</v>
      </c>
      <c r="C626" s="2" t="s">
        <v>128</v>
      </c>
      <c r="D626" s="2">
        <v>0.0</v>
      </c>
      <c r="E626" s="2">
        <v>0.0</v>
      </c>
      <c r="F626" s="2">
        <v>0.0</v>
      </c>
      <c r="G626" s="2">
        <v>0.0</v>
      </c>
      <c r="H626" s="2">
        <v>0.0</v>
      </c>
    </row>
    <row r="627" ht="14.25" customHeight="1">
      <c r="A627" s="2" t="s">
        <v>127</v>
      </c>
      <c r="B627" s="2" t="s">
        <v>53</v>
      </c>
      <c r="C627" s="2" t="s">
        <v>122</v>
      </c>
      <c r="D627" s="2">
        <v>0.0</v>
      </c>
      <c r="E627" s="2">
        <v>0.0</v>
      </c>
      <c r="F627" s="2">
        <v>0.0</v>
      </c>
      <c r="G627" s="2">
        <v>0.0</v>
      </c>
      <c r="H627" s="2">
        <v>0.0</v>
      </c>
    </row>
    <row r="628" ht="14.25" customHeight="1">
      <c r="A628" s="2" t="s">
        <v>127</v>
      </c>
      <c r="B628" s="2" t="s">
        <v>53</v>
      </c>
      <c r="C628" s="2" t="s">
        <v>123</v>
      </c>
      <c r="D628" s="2">
        <v>0.0</v>
      </c>
      <c r="E628" s="2">
        <v>0.0</v>
      </c>
      <c r="F628" s="2">
        <v>0.0</v>
      </c>
      <c r="G628" s="2">
        <v>0.0</v>
      </c>
      <c r="H628" s="2">
        <v>0.0</v>
      </c>
    </row>
    <row r="629" ht="14.25" customHeight="1">
      <c r="A629" s="2" t="s">
        <v>127</v>
      </c>
      <c r="B629" s="2" t="s">
        <v>53</v>
      </c>
      <c r="C629" s="2" t="s">
        <v>123</v>
      </c>
      <c r="D629" s="2">
        <v>0.0</v>
      </c>
      <c r="E629" s="2">
        <v>0.0</v>
      </c>
      <c r="F629" s="2">
        <v>0.0</v>
      </c>
      <c r="G629" s="2">
        <v>0.0</v>
      </c>
      <c r="H629" s="2">
        <v>0.0</v>
      </c>
    </row>
    <row r="630" ht="14.25" customHeight="1">
      <c r="A630" s="2" t="s">
        <v>127</v>
      </c>
      <c r="B630" s="2" t="s">
        <v>53</v>
      </c>
      <c r="C630" s="2" t="s">
        <v>124</v>
      </c>
      <c r="D630" s="2">
        <v>23.81</v>
      </c>
      <c r="E630" s="2">
        <v>0.0</v>
      </c>
      <c r="F630" s="2">
        <v>11.09</v>
      </c>
      <c r="G630" s="2">
        <v>0.01</v>
      </c>
      <c r="H630" s="2">
        <v>0.03</v>
      </c>
    </row>
    <row r="631" ht="14.25" customHeight="1">
      <c r="A631" s="2" t="s">
        <v>127</v>
      </c>
      <c r="B631" s="2" t="s">
        <v>53</v>
      </c>
      <c r="C631" s="2" t="s">
        <v>55</v>
      </c>
      <c r="D631" s="2">
        <v>0.0</v>
      </c>
      <c r="E631" s="2">
        <v>0.0</v>
      </c>
      <c r="F631" s="2">
        <v>0.0</v>
      </c>
      <c r="G631" s="2">
        <v>0.0</v>
      </c>
      <c r="H631" s="2">
        <v>0.0</v>
      </c>
    </row>
    <row r="632" ht="14.25" customHeight="1">
      <c r="A632" s="2" t="s">
        <v>127</v>
      </c>
      <c r="B632" s="2" t="s">
        <v>53</v>
      </c>
      <c r="C632" s="2" t="s">
        <v>10</v>
      </c>
      <c r="D632" s="2">
        <v>24.04</v>
      </c>
      <c r="E632" s="2">
        <v>0.0</v>
      </c>
      <c r="F632" s="2">
        <v>11.2</v>
      </c>
      <c r="G632" s="2">
        <v>0.01</v>
      </c>
      <c r="H632" s="2">
        <v>0.03</v>
      </c>
    </row>
    <row r="633" ht="14.25" customHeight="1">
      <c r="A633" s="2" t="s">
        <v>127</v>
      </c>
      <c r="B633" s="2" t="s">
        <v>18</v>
      </c>
      <c r="C633" s="2" t="s">
        <v>10</v>
      </c>
      <c r="D633" s="2">
        <v>0.0</v>
      </c>
      <c r="E633" s="2">
        <v>0.0</v>
      </c>
      <c r="F633" s="2">
        <v>0.0</v>
      </c>
      <c r="G633" s="2">
        <v>0.0</v>
      </c>
      <c r="H633" s="2">
        <v>0.0</v>
      </c>
    </row>
    <row r="634" ht="14.25" customHeight="1">
      <c r="A634" s="2" t="s">
        <v>129</v>
      </c>
      <c r="B634" s="2" t="s">
        <v>84</v>
      </c>
      <c r="C634" s="2" t="s">
        <v>85</v>
      </c>
      <c r="D634" s="2">
        <v>16.64</v>
      </c>
      <c r="E634" s="2">
        <v>0.0</v>
      </c>
      <c r="F634" s="2">
        <v>7.75</v>
      </c>
      <c r="G634" s="2">
        <v>0.01</v>
      </c>
      <c r="H634" s="2">
        <v>0.02</v>
      </c>
    </row>
    <row r="635" ht="14.25" customHeight="1">
      <c r="A635" s="2" t="s">
        <v>129</v>
      </c>
      <c r="B635" s="2" t="s">
        <v>84</v>
      </c>
      <c r="C635" s="2" t="s">
        <v>85</v>
      </c>
      <c r="D635" s="2">
        <v>16.64</v>
      </c>
      <c r="E635" s="2">
        <v>0.0</v>
      </c>
      <c r="F635" s="2">
        <v>7.75</v>
      </c>
      <c r="G635" s="2">
        <v>0.01</v>
      </c>
      <c r="H635" s="2">
        <v>0.02</v>
      </c>
    </row>
    <row r="636" ht="14.25" customHeight="1">
      <c r="A636" s="2" t="s">
        <v>129</v>
      </c>
      <c r="B636" s="2" t="s">
        <v>84</v>
      </c>
      <c r="C636" s="2" t="s">
        <v>85</v>
      </c>
      <c r="D636" s="2">
        <v>112.69</v>
      </c>
      <c r="E636" s="2">
        <v>0.01</v>
      </c>
      <c r="F636" s="2">
        <v>52.48</v>
      </c>
      <c r="G636" s="2">
        <v>0.05</v>
      </c>
      <c r="H636" s="2">
        <v>0.12</v>
      </c>
    </row>
    <row r="637" ht="14.25" customHeight="1">
      <c r="A637" s="2" t="s">
        <v>129</v>
      </c>
      <c r="B637" s="2" t="s">
        <v>84</v>
      </c>
      <c r="C637" s="2" t="s">
        <v>85</v>
      </c>
      <c r="D637" s="2">
        <v>6.72</v>
      </c>
      <c r="E637" s="2">
        <v>0.0</v>
      </c>
      <c r="F637" s="2">
        <v>3.13</v>
      </c>
      <c r="G637" s="2">
        <v>0.0</v>
      </c>
      <c r="H637" s="2">
        <v>0.01</v>
      </c>
    </row>
    <row r="638" ht="14.25" customHeight="1">
      <c r="A638" s="2" t="s">
        <v>129</v>
      </c>
      <c r="B638" s="2" t="s">
        <v>84</v>
      </c>
      <c r="C638" s="2" t="s">
        <v>16</v>
      </c>
      <c r="D638" s="2">
        <v>28.12</v>
      </c>
      <c r="E638" s="2">
        <v>0.02</v>
      </c>
      <c r="F638" s="2">
        <v>21.92</v>
      </c>
      <c r="G638" s="2">
        <v>0.05</v>
      </c>
      <c r="H638" s="2">
        <v>0.0</v>
      </c>
    </row>
    <row r="639" ht="14.25" customHeight="1">
      <c r="A639" s="2" t="s">
        <v>129</v>
      </c>
      <c r="B639" s="2" t="s">
        <v>84</v>
      </c>
      <c r="C639" s="2" t="s">
        <v>17</v>
      </c>
      <c r="D639" s="2">
        <v>0.0</v>
      </c>
      <c r="E639" s="2">
        <v>0.0</v>
      </c>
      <c r="F639" s="2">
        <v>0.0</v>
      </c>
      <c r="G639" s="2">
        <v>0.0</v>
      </c>
      <c r="H639" s="2">
        <v>0.0</v>
      </c>
    </row>
    <row r="640" ht="14.25" customHeight="1">
      <c r="A640" s="2" t="s">
        <v>129</v>
      </c>
      <c r="B640" s="2" t="s">
        <v>84</v>
      </c>
      <c r="C640" s="2" t="s">
        <v>10</v>
      </c>
      <c r="D640" s="2">
        <v>180.81</v>
      </c>
      <c r="E640" s="2">
        <v>0.03</v>
      </c>
      <c r="F640" s="2">
        <v>93.03</v>
      </c>
      <c r="G640" s="2">
        <v>0.12</v>
      </c>
      <c r="H640" s="2">
        <v>0.17</v>
      </c>
    </row>
    <row r="641" ht="14.25" customHeight="1">
      <c r="A641" s="2" t="s">
        <v>129</v>
      </c>
      <c r="B641" s="2" t="s">
        <v>18</v>
      </c>
      <c r="C641" s="2" t="s">
        <v>10</v>
      </c>
      <c r="D641" s="2">
        <v>0.0</v>
      </c>
      <c r="E641" s="2">
        <v>0.0</v>
      </c>
      <c r="F641" s="2">
        <v>0.0</v>
      </c>
      <c r="G641" s="2">
        <v>0.0</v>
      </c>
      <c r="H641" s="2">
        <v>0.0</v>
      </c>
    </row>
    <row r="642" ht="14.25" customHeight="1">
      <c r="A642" s="2" t="s">
        <v>130</v>
      </c>
      <c r="B642" s="2" t="s">
        <v>23</v>
      </c>
      <c r="C642" s="2" t="s">
        <v>24</v>
      </c>
      <c r="D642" s="2">
        <v>57.07</v>
      </c>
      <c r="E642" s="2">
        <v>0.01</v>
      </c>
      <c r="F642" s="2">
        <v>11.58</v>
      </c>
      <c r="G642" s="2">
        <v>0.08</v>
      </c>
      <c r="H642" s="2">
        <v>0.0</v>
      </c>
    </row>
    <row r="643" ht="14.25" customHeight="1">
      <c r="A643" s="2" t="s">
        <v>130</v>
      </c>
      <c r="B643" s="2" t="s">
        <v>23</v>
      </c>
      <c r="C643" s="2" t="s">
        <v>24</v>
      </c>
      <c r="D643" s="2">
        <v>1.19</v>
      </c>
      <c r="E643" s="2">
        <v>0.0</v>
      </c>
      <c r="F643" s="2">
        <v>0.24</v>
      </c>
      <c r="G643" s="2">
        <v>0.0</v>
      </c>
      <c r="H643" s="2">
        <v>0.0</v>
      </c>
    </row>
    <row r="644" ht="14.25" customHeight="1">
      <c r="A644" s="2" t="s">
        <v>130</v>
      </c>
      <c r="B644" s="2" t="s">
        <v>23</v>
      </c>
      <c r="C644" s="2" t="s">
        <v>25</v>
      </c>
      <c r="D644" s="2">
        <v>19.02</v>
      </c>
      <c r="E644" s="2">
        <v>0.0</v>
      </c>
      <c r="F644" s="2">
        <v>3.86</v>
      </c>
      <c r="G644" s="2">
        <v>0.03</v>
      </c>
      <c r="H644" s="2">
        <v>0.0</v>
      </c>
    </row>
    <row r="645" ht="14.25" customHeight="1">
      <c r="A645" s="2" t="s">
        <v>130</v>
      </c>
      <c r="B645" s="2" t="s">
        <v>23</v>
      </c>
      <c r="C645" s="2" t="s">
        <v>25</v>
      </c>
      <c r="D645" s="2">
        <v>0.0</v>
      </c>
      <c r="E645" s="2">
        <v>0.0</v>
      </c>
      <c r="F645" s="2">
        <v>0.0</v>
      </c>
      <c r="G645" s="2">
        <v>0.0</v>
      </c>
      <c r="H645" s="2">
        <v>0.0</v>
      </c>
    </row>
    <row r="646" ht="14.25" customHeight="1">
      <c r="A646" s="2" t="s">
        <v>130</v>
      </c>
      <c r="B646" s="2" t="s">
        <v>23</v>
      </c>
      <c r="C646" s="2" t="s">
        <v>25</v>
      </c>
      <c r="D646" s="2">
        <v>0.0</v>
      </c>
      <c r="E646" s="2">
        <v>0.0</v>
      </c>
      <c r="F646" s="2">
        <v>0.0</v>
      </c>
      <c r="G646" s="2">
        <v>0.0</v>
      </c>
      <c r="H646" s="2">
        <v>0.0</v>
      </c>
    </row>
    <row r="647" ht="14.25" customHeight="1">
      <c r="A647" s="2" t="s">
        <v>130</v>
      </c>
      <c r="B647" s="2" t="s">
        <v>23</v>
      </c>
      <c r="C647" s="2" t="s">
        <v>25</v>
      </c>
      <c r="D647" s="2">
        <v>0.0</v>
      </c>
      <c r="E647" s="2">
        <v>0.0</v>
      </c>
      <c r="F647" s="2">
        <v>0.0</v>
      </c>
      <c r="G647" s="2">
        <v>0.0</v>
      </c>
      <c r="H647" s="2">
        <v>0.0</v>
      </c>
    </row>
    <row r="648" ht="14.25" customHeight="1">
      <c r="A648" s="2" t="s">
        <v>130</v>
      </c>
      <c r="B648" s="2" t="s">
        <v>23</v>
      </c>
      <c r="C648" s="2" t="s">
        <v>31</v>
      </c>
      <c r="D648" s="2">
        <v>1.19</v>
      </c>
      <c r="E648" s="2">
        <v>0.0</v>
      </c>
      <c r="F648" s="2">
        <v>0.24</v>
      </c>
      <c r="G648" s="2">
        <v>0.0</v>
      </c>
      <c r="H648" s="2">
        <v>0.0</v>
      </c>
    </row>
    <row r="649" ht="14.25" customHeight="1">
      <c r="A649" s="2" t="s">
        <v>130</v>
      </c>
      <c r="B649" s="2" t="s">
        <v>23</v>
      </c>
      <c r="C649" s="2" t="s">
        <v>32</v>
      </c>
      <c r="D649" s="2">
        <v>116.28</v>
      </c>
      <c r="E649" s="2">
        <v>0.02</v>
      </c>
      <c r="F649" s="2">
        <v>23.6</v>
      </c>
      <c r="G649" s="2">
        <v>0.17</v>
      </c>
      <c r="H649" s="2">
        <v>0.0</v>
      </c>
    </row>
    <row r="650" ht="14.25" customHeight="1">
      <c r="A650" s="2" t="s">
        <v>130</v>
      </c>
      <c r="B650" s="2" t="s">
        <v>23</v>
      </c>
      <c r="C650" s="2" t="s">
        <v>32</v>
      </c>
      <c r="D650" s="2">
        <v>86.5</v>
      </c>
      <c r="E650" s="2">
        <v>0.01</v>
      </c>
      <c r="F650" s="2">
        <v>17.55</v>
      </c>
      <c r="G650" s="2">
        <v>0.13</v>
      </c>
      <c r="H650" s="2">
        <v>0.0</v>
      </c>
    </row>
    <row r="651" ht="14.25" customHeight="1">
      <c r="A651" s="2" t="s">
        <v>130</v>
      </c>
      <c r="B651" s="2" t="s">
        <v>23</v>
      </c>
      <c r="C651" s="2" t="s">
        <v>26</v>
      </c>
      <c r="D651" s="2">
        <v>0.0</v>
      </c>
      <c r="E651" s="2">
        <v>0.0</v>
      </c>
      <c r="F651" s="2">
        <v>0.0</v>
      </c>
      <c r="G651" s="2">
        <v>0.0</v>
      </c>
      <c r="H651" s="2">
        <v>0.0</v>
      </c>
    </row>
    <row r="652" ht="14.25" customHeight="1">
      <c r="A652" s="2" t="s">
        <v>130</v>
      </c>
      <c r="B652" s="2" t="s">
        <v>23</v>
      </c>
      <c r="C652" s="2" t="s">
        <v>33</v>
      </c>
      <c r="D652" s="2">
        <v>0.0</v>
      </c>
      <c r="E652" s="2">
        <v>0.0</v>
      </c>
      <c r="F652" s="2">
        <v>0.0</v>
      </c>
      <c r="G652" s="2">
        <v>0.0</v>
      </c>
      <c r="H652" s="2">
        <v>0.0</v>
      </c>
    </row>
    <row r="653" ht="14.25" customHeight="1">
      <c r="A653" s="2" t="s">
        <v>130</v>
      </c>
      <c r="B653" s="2" t="s">
        <v>23</v>
      </c>
      <c r="C653" s="2" t="s">
        <v>10</v>
      </c>
      <c r="D653" s="2">
        <v>281.25</v>
      </c>
      <c r="E653" s="2">
        <v>0.04</v>
      </c>
      <c r="F653" s="2">
        <v>57.07</v>
      </c>
      <c r="G653" s="2">
        <v>0.41</v>
      </c>
      <c r="H653" s="2">
        <v>0.0</v>
      </c>
    </row>
    <row r="654" ht="14.25" customHeight="1">
      <c r="A654" s="2" t="s">
        <v>130</v>
      </c>
      <c r="B654" s="2" t="s">
        <v>29</v>
      </c>
      <c r="C654" s="2" t="s">
        <v>34</v>
      </c>
      <c r="D654" s="2">
        <v>0.48</v>
      </c>
      <c r="E654" s="2">
        <v>0.0</v>
      </c>
      <c r="F654" s="2">
        <v>0.1</v>
      </c>
      <c r="G654" s="2">
        <v>0.0</v>
      </c>
      <c r="H654" s="2">
        <v>0.0</v>
      </c>
    </row>
    <row r="655" ht="14.25" customHeight="1">
      <c r="A655" s="2" t="s">
        <v>130</v>
      </c>
      <c r="B655" s="2" t="s">
        <v>29</v>
      </c>
      <c r="C655" s="2" t="s">
        <v>35</v>
      </c>
      <c r="D655" s="2">
        <v>0.0</v>
      </c>
      <c r="E655" s="2">
        <v>0.0</v>
      </c>
      <c r="F655" s="2">
        <v>0.0</v>
      </c>
      <c r="G655" s="2">
        <v>0.0</v>
      </c>
      <c r="H655" s="2">
        <v>0.0</v>
      </c>
    </row>
    <row r="656" ht="14.25" customHeight="1">
      <c r="A656" s="2" t="s">
        <v>130</v>
      </c>
      <c r="B656" s="2" t="s">
        <v>29</v>
      </c>
      <c r="C656" s="2" t="s">
        <v>35</v>
      </c>
      <c r="D656" s="2">
        <v>0.0</v>
      </c>
      <c r="E656" s="2">
        <v>0.0</v>
      </c>
      <c r="F656" s="2">
        <v>0.0</v>
      </c>
      <c r="G656" s="2">
        <v>0.0</v>
      </c>
      <c r="H656" s="2">
        <v>0.0</v>
      </c>
    </row>
    <row r="657" ht="14.25" customHeight="1">
      <c r="A657" s="2" t="s">
        <v>130</v>
      </c>
      <c r="B657" s="2" t="s">
        <v>29</v>
      </c>
      <c r="C657" s="2" t="s">
        <v>35</v>
      </c>
      <c r="D657" s="2">
        <v>0.0</v>
      </c>
      <c r="E657" s="2">
        <v>0.0</v>
      </c>
      <c r="F657" s="2">
        <v>0.0</v>
      </c>
      <c r="G657" s="2">
        <v>0.0</v>
      </c>
      <c r="H657" s="2">
        <v>0.0</v>
      </c>
    </row>
    <row r="658" ht="14.25" customHeight="1">
      <c r="A658" s="2" t="s">
        <v>130</v>
      </c>
      <c r="B658" s="2" t="s">
        <v>29</v>
      </c>
      <c r="C658" s="2" t="s">
        <v>36</v>
      </c>
      <c r="D658" s="2">
        <v>0.0</v>
      </c>
      <c r="E658" s="2">
        <v>0.0</v>
      </c>
      <c r="F658" s="2">
        <v>0.0</v>
      </c>
      <c r="G658" s="2">
        <v>0.0</v>
      </c>
      <c r="H658" s="2">
        <v>0.0</v>
      </c>
    </row>
    <row r="659" ht="14.25" customHeight="1">
      <c r="A659" s="2" t="s">
        <v>130</v>
      </c>
      <c r="B659" s="2" t="s">
        <v>29</v>
      </c>
      <c r="C659" s="2" t="s">
        <v>10</v>
      </c>
      <c r="D659" s="2">
        <v>0.48</v>
      </c>
      <c r="E659" s="2">
        <v>0.0</v>
      </c>
      <c r="F659" s="2">
        <v>0.1</v>
      </c>
      <c r="G659" s="2">
        <v>0.0</v>
      </c>
      <c r="H659" s="2">
        <v>0.0</v>
      </c>
    </row>
    <row r="660" ht="14.25" customHeight="1">
      <c r="A660" s="2" t="s">
        <v>130</v>
      </c>
      <c r="B660" s="2" t="s">
        <v>18</v>
      </c>
      <c r="C660" s="2" t="s">
        <v>10</v>
      </c>
      <c r="D660" s="2">
        <v>0.0</v>
      </c>
      <c r="E660" s="2">
        <v>0.0</v>
      </c>
      <c r="F660" s="2">
        <v>0.0</v>
      </c>
      <c r="G660" s="2">
        <v>0.0</v>
      </c>
      <c r="H660" s="2">
        <v>0.0</v>
      </c>
    </row>
    <row r="661" ht="14.25" customHeight="1">
      <c r="A661" s="2" t="s">
        <v>131</v>
      </c>
      <c r="B661" s="2" t="s">
        <v>21</v>
      </c>
      <c r="C661" s="2" t="s">
        <v>10</v>
      </c>
      <c r="D661" s="2">
        <v>0.0</v>
      </c>
      <c r="E661" s="2">
        <v>0.0</v>
      </c>
      <c r="F661" s="2">
        <v>0.0</v>
      </c>
      <c r="G661" s="2">
        <v>0.0</v>
      </c>
      <c r="H661" s="2">
        <v>0.0</v>
      </c>
    </row>
    <row r="662" ht="14.25" customHeight="1">
      <c r="A662" s="2" t="s">
        <v>131</v>
      </c>
      <c r="B662" s="2" t="s">
        <v>22</v>
      </c>
      <c r="C662" s="2" t="s">
        <v>10</v>
      </c>
      <c r="D662" s="2">
        <v>0.0</v>
      </c>
      <c r="E662" s="2">
        <v>0.0</v>
      </c>
      <c r="F662" s="2">
        <v>0.0</v>
      </c>
      <c r="G662" s="2">
        <v>0.0</v>
      </c>
      <c r="H662" s="2">
        <v>0.0</v>
      </c>
    </row>
    <row r="663" ht="14.25" customHeight="1">
      <c r="A663" s="2" t="s">
        <v>131</v>
      </c>
      <c r="B663" s="2" t="s">
        <v>23</v>
      </c>
      <c r="C663" s="2" t="s">
        <v>24</v>
      </c>
      <c r="D663" s="2">
        <v>1.98</v>
      </c>
      <c r="E663" s="2">
        <v>0.0</v>
      </c>
      <c r="F663" s="2">
        <v>1.04</v>
      </c>
      <c r="G663" s="2">
        <v>0.0</v>
      </c>
      <c r="H663" s="2">
        <v>0.0</v>
      </c>
    </row>
    <row r="664" ht="14.25" customHeight="1">
      <c r="A664" s="2" t="s">
        <v>131</v>
      </c>
      <c r="B664" s="2" t="s">
        <v>23</v>
      </c>
      <c r="C664" s="2" t="s">
        <v>25</v>
      </c>
      <c r="D664" s="2">
        <v>0.57</v>
      </c>
      <c r="E664" s="2">
        <v>0.0</v>
      </c>
      <c r="F664" s="2">
        <v>0.26</v>
      </c>
      <c r="G664" s="2">
        <v>0.0</v>
      </c>
      <c r="H664" s="2">
        <v>0.0</v>
      </c>
    </row>
    <row r="665" ht="14.25" customHeight="1">
      <c r="A665" s="2" t="s">
        <v>131</v>
      </c>
      <c r="B665" s="2" t="s">
        <v>23</v>
      </c>
      <c r="C665" s="2" t="s">
        <v>25</v>
      </c>
      <c r="D665" s="2">
        <v>0.38</v>
      </c>
      <c r="E665" s="2">
        <v>0.0</v>
      </c>
      <c r="F665" s="2">
        <v>0.18</v>
      </c>
      <c r="G665" s="2">
        <v>0.0</v>
      </c>
      <c r="H665" s="2">
        <v>0.0</v>
      </c>
    </row>
    <row r="666" ht="14.25" customHeight="1">
      <c r="A666" s="2" t="s">
        <v>131</v>
      </c>
      <c r="B666" s="2" t="s">
        <v>23</v>
      </c>
      <c r="C666" s="2" t="s">
        <v>25</v>
      </c>
      <c r="D666" s="2">
        <v>0.38</v>
      </c>
      <c r="E666" s="2">
        <v>0.0</v>
      </c>
      <c r="F666" s="2">
        <v>0.18</v>
      </c>
      <c r="G666" s="2">
        <v>0.0</v>
      </c>
      <c r="H666" s="2">
        <v>0.0</v>
      </c>
    </row>
    <row r="667" ht="14.25" customHeight="1">
      <c r="A667" s="2" t="s">
        <v>131</v>
      </c>
      <c r="B667" s="2" t="s">
        <v>23</v>
      </c>
      <c r="C667" s="2" t="s">
        <v>31</v>
      </c>
      <c r="D667" s="2">
        <v>0.38</v>
      </c>
      <c r="E667" s="2">
        <v>0.0</v>
      </c>
      <c r="F667" s="2">
        <v>0.18</v>
      </c>
      <c r="G667" s="2">
        <v>0.0</v>
      </c>
      <c r="H667" s="2">
        <v>0.0</v>
      </c>
    </row>
    <row r="668" ht="14.25" customHeight="1">
      <c r="A668" s="2" t="s">
        <v>131</v>
      </c>
      <c r="B668" s="2" t="s">
        <v>23</v>
      </c>
      <c r="C668" s="2" t="s">
        <v>25</v>
      </c>
      <c r="D668" s="2">
        <v>2.81</v>
      </c>
      <c r="E668" s="2">
        <v>0.0</v>
      </c>
      <c r="F668" s="2">
        <v>0.81</v>
      </c>
      <c r="G668" s="2">
        <v>0.0</v>
      </c>
      <c r="H668" s="2">
        <v>0.0</v>
      </c>
    </row>
    <row r="669" ht="14.25" customHeight="1">
      <c r="A669" s="2" t="s">
        <v>131</v>
      </c>
      <c r="B669" s="2" t="s">
        <v>23</v>
      </c>
      <c r="C669" s="2" t="s">
        <v>32</v>
      </c>
      <c r="D669" s="2">
        <v>0.05</v>
      </c>
      <c r="E669" s="2">
        <v>0.0</v>
      </c>
      <c r="F669" s="2">
        <v>0.02</v>
      </c>
      <c r="G669" s="2">
        <v>0.0</v>
      </c>
      <c r="H669" s="2">
        <v>0.0</v>
      </c>
    </row>
    <row r="670" ht="14.25" customHeight="1">
      <c r="A670" s="2" t="s">
        <v>131</v>
      </c>
      <c r="B670" s="2" t="s">
        <v>23</v>
      </c>
      <c r="C670" s="2" t="s">
        <v>26</v>
      </c>
      <c r="D670" s="2">
        <v>0.23</v>
      </c>
      <c r="E670" s="2">
        <v>0.0</v>
      </c>
      <c r="F670" s="2">
        <v>0.11</v>
      </c>
      <c r="G670" s="2">
        <v>0.0</v>
      </c>
      <c r="H670" s="2">
        <v>0.0</v>
      </c>
    </row>
    <row r="671" ht="14.25" customHeight="1">
      <c r="A671" s="2" t="s">
        <v>131</v>
      </c>
      <c r="B671" s="2" t="s">
        <v>23</v>
      </c>
      <c r="C671" s="2" t="s">
        <v>33</v>
      </c>
      <c r="D671" s="2">
        <v>0.0</v>
      </c>
      <c r="E671" s="2">
        <v>0.0</v>
      </c>
      <c r="F671" s="2">
        <v>0.0</v>
      </c>
      <c r="G671" s="2">
        <v>0.0</v>
      </c>
      <c r="H671" s="2">
        <v>0.0</v>
      </c>
    </row>
    <row r="672" ht="14.25" customHeight="1">
      <c r="A672" s="2" t="s">
        <v>131</v>
      </c>
      <c r="B672" s="2" t="s">
        <v>23</v>
      </c>
      <c r="C672" s="2" t="s">
        <v>33</v>
      </c>
      <c r="D672" s="2">
        <v>0.0</v>
      </c>
      <c r="E672" s="2">
        <v>0.0</v>
      </c>
      <c r="F672" s="2">
        <v>0.0</v>
      </c>
      <c r="G672" s="2">
        <v>0.0</v>
      </c>
      <c r="H672" s="2">
        <v>0.0</v>
      </c>
    </row>
    <row r="673" ht="14.25" customHeight="1">
      <c r="A673" s="2" t="s">
        <v>131</v>
      </c>
      <c r="B673" s="2" t="s">
        <v>23</v>
      </c>
      <c r="C673" s="2" t="s">
        <v>27</v>
      </c>
      <c r="D673" s="2">
        <v>7.14</v>
      </c>
      <c r="E673" s="2">
        <v>0.0</v>
      </c>
      <c r="F673" s="2">
        <v>3.33</v>
      </c>
      <c r="G673" s="2">
        <v>0.0</v>
      </c>
      <c r="H673" s="2">
        <v>0.01</v>
      </c>
    </row>
    <row r="674" ht="14.25" customHeight="1">
      <c r="A674" s="2" t="s">
        <v>131</v>
      </c>
      <c r="B674" s="2" t="s">
        <v>23</v>
      </c>
      <c r="C674" s="2" t="s">
        <v>28</v>
      </c>
      <c r="D674" s="2">
        <v>0.0</v>
      </c>
      <c r="E674" s="2">
        <v>0.0</v>
      </c>
      <c r="F674" s="2">
        <v>0.0</v>
      </c>
      <c r="G674" s="2">
        <v>0.0</v>
      </c>
      <c r="H674" s="2">
        <v>0.0</v>
      </c>
    </row>
    <row r="675" ht="14.25" customHeight="1">
      <c r="A675" s="2" t="s">
        <v>131</v>
      </c>
      <c r="B675" s="2" t="s">
        <v>23</v>
      </c>
      <c r="C675" s="2" t="s">
        <v>10</v>
      </c>
      <c r="D675" s="2">
        <v>13.92</v>
      </c>
      <c r="E675" s="2">
        <v>0.0</v>
      </c>
      <c r="F675" s="2">
        <v>6.11</v>
      </c>
      <c r="G675" s="2">
        <v>0.0</v>
      </c>
      <c r="H675" s="2">
        <v>0.01</v>
      </c>
    </row>
    <row r="676" ht="14.25" customHeight="1">
      <c r="A676" s="2" t="s">
        <v>131</v>
      </c>
      <c r="B676" s="2" t="s">
        <v>29</v>
      </c>
      <c r="C676" s="2" t="s">
        <v>34</v>
      </c>
      <c r="D676" s="2">
        <v>0.0</v>
      </c>
      <c r="E676" s="2">
        <v>0.0</v>
      </c>
      <c r="F676" s="2">
        <v>0.0</v>
      </c>
      <c r="G676" s="2">
        <v>0.0</v>
      </c>
      <c r="H676" s="2">
        <v>0.0</v>
      </c>
    </row>
    <row r="677" ht="14.25" customHeight="1">
      <c r="A677" s="2" t="s">
        <v>131</v>
      </c>
      <c r="B677" s="2" t="s">
        <v>29</v>
      </c>
      <c r="C677" s="2" t="s">
        <v>35</v>
      </c>
      <c r="D677" s="2">
        <v>0.0</v>
      </c>
      <c r="E677" s="2">
        <v>0.0</v>
      </c>
      <c r="F677" s="2">
        <v>0.0</v>
      </c>
      <c r="G677" s="2">
        <v>0.0</v>
      </c>
      <c r="H677" s="2">
        <v>0.0</v>
      </c>
    </row>
    <row r="678" ht="14.25" customHeight="1">
      <c r="A678" s="2" t="s">
        <v>131</v>
      </c>
      <c r="B678" s="2" t="s">
        <v>29</v>
      </c>
      <c r="C678" s="2" t="s">
        <v>36</v>
      </c>
      <c r="D678" s="2">
        <v>0.0</v>
      </c>
      <c r="E678" s="2">
        <v>0.0</v>
      </c>
      <c r="F678" s="2">
        <v>0.0</v>
      </c>
      <c r="G678" s="2">
        <v>0.0</v>
      </c>
      <c r="H678" s="2">
        <v>0.0</v>
      </c>
    </row>
    <row r="679" ht="14.25" customHeight="1">
      <c r="A679" s="2" t="s">
        <v>131</v>
      </c>
      <c r="B679" s="2" t="s">
        <v>29</v>
      </c>
      <c r="C679" s="2" t="s">
        <v>132</v>
      </c>
      <c r="D679" s="2">
        <v>0.0</v>
      </c>
      <c r="E679" s="2">
        <v>0.0</v>
      </c>
      <c r="F679" s="2">
        <v>0.0</v>
      </c>
      <c r="G679" s="2">
        <v>0.0</v>
      </c>
      <c r="H679" s="2">
        <v>0.0</v>
      </c>
    </row>
    <row r="680" ht="14.25" customHeight="1">
      <c r="A680" s="2" t="s">
        <v>131</v>
      </c>
      <c r="B680" s="2" t="s">
        <v>29</v>
      </c>
      <c r="C680" s="2" t="s">
        <v>10</v>
      </c>
      <c r="D680" s="2">
        <v>0.0</v>
      </c>
      <c r="E680" s="2">
        <v>0.0</v>
      </c>
      <c r="F680" s="2">
        <v>0.0</v>
      </c>
      <c r="G680" s="2">
        <v>0.0</v>
      </c>
      <c r="H680" s="2">
        <v>0.0</v>
      </c>
    </row>
    <row r="681" ht="14.25" customHeight="1">
      <c r="A681" s="2" t="s">
        <v>131</v>
      </c>
      <c r="B681" s="2" t="s">
        <v>18</v>
      </c>
      <c r="C681" s="2" t="s">
        <v>10</v>
      </c>
      <c r="D681" s="2">
        <v>0.0</v>
      </c>
      <c r="E681" s="2">
        <v>0.0</v>
      </c>
      <c r="F681" s="2">
        <v>0.0</v>
      </c>
      <c r="G681" s="2">
        <v>0.0</v>
      </c>
      <c r="H681" s="2">
        <v>0.0</v>
      </c>
    </row>
    <row r="682" ht="14.25" customHeight="1">
      <c r="A682" s="2" t="s">
        <v>133</v>
      </c>
      <c r="B682" s="2" t="s">
        <v>80</v>
      </c>
      <c r="C682" s="2" t="s">
        <v>81</v>
      </c>
      <c r="D682" s="2">
        <v>0.0</v>
      </c>
      <c r="E682" s="2">
        <v>0.0</v>
      </c>
      <c r="F682" s="2">
        <v>0.0</v>
      </c>
      <c r="G682" s="2">
        <v>0.0</v>
      </c>
      <c r="H682" s="2">
        <v>0.0</v>
      </c>
    </row>
    <row r="683" ht="14.25" customHeight="1">
      <c r="A683" s="2" t="s">
        <v>133</v>
      </c>
      <c r="B683" s="2" t="s">
        <v>80</v>
      </c>
      <c r="C683" s="2" t="s">
        <v>81</v>
      </c>
      <c r="D683" s="2">
        <v>0.0</v>
      </c>
      <c r="E683" s="2">
        <v>0.0</v>
      </c>
      <c r="F683" s="2">
        <v>0.0</v>
      </c>
      <c r="G683" s="2">
        <v>0.0</v>
      </c>
      <c r="H683" s="2">
        <v>0.0</v>
      </c>
    </row>
    <row r="684" ht="14.25" customHeight="1">
      <c r="A684" s="2" t="s">
        <v>133</v>
      </c>
      <c r="B684" s="2" t="s">
        <v>80</v>
      </c>
      <c r="C684" s="2" t="s">
        <v>81</v>
      </c>
      <c r="D684" s="2">
        <v>0.0</v>
      </c>
      <c r="E684" s="2">
        <v>0.0</v>
      </c>
      <c r="F684" s="2">
        <v>0.0</v>
      </c>
      <c r="G684" s="2">
        <v>0.0</v>
      </c>
      <c r="H684" s="2">
        <v>0.0</v>
      </c>
    </row>
    <row r="685" ht="14.25" customHeight="1">
      <c r="A685" s="2" t="s">
        <v>133</v>
      </c>
      <c r="B685" s="2" t="s">
        <v>80</v>
      </c>
      <c r="C685" s="2" t="s">
        <v>16</v>
      </c>
      <c r="D685" s="2">
        <v>4.76</v>
      </c>
      <c r="E685" s="2">
        <v>0.0</v>
      </c>
      <c r="F685" s="2">
        <v>2.22</v>
      </c>
      <c r="G685" s="2">
        <v>0.0</v>
      </c>
      <c r="H685" s="2">
        <v>0.01</v>
      </c>
    </row>
    <row r="686" ht="14.25" customHeight="1">
      <c r="A686" s="2" t="s">
        <v>133</v>
      </c>
      <c r="B686" s="2" t="s">
        <v>80</v>
      </c>
      <c r="C686" s="2" t="s">
        <v>17</v>
      </c>
      <c r="D686" s="2">
        <v>0.0</v>
      </c>
      <c r="E686" s="2">
        <v>0.0</v>
      </c>
      <c r="F686" s="2">
        <v>0.0</v>
      </c>
      <c r="G686" s="2">
        <v>0.0</v>
      </c>
      <c r="H686" s="2">
        <v>0.0</v>
      </c>
    </row>
    <row r="687" ht="14.25" customHeight="1">
      <c r="A687" s="2" t="s">
        <v>133</v>
      </c>
      <c r="B687" s="2" t="s">
        <v>80</v>
      </c>
      <c r="C687" s="2" t="s">
        <v>10</v>
      </c>
      <c r="D687" s="2">
        <v>4.76</v>
      </c>
      <c r="E687" s="2">
        <v>0.0</v>
      </c>
      <c r="F687" s="2">
        <v>2.22</v>
      </c>
      <c r="G687" s="2">
        <v>0.0</v>
      </c>
      <c r="H687" s="2">
        <v>0.01</v>
      </c>
    </row>
    <row r="688" ht="14.25" customHeight="1">
      <c r="A688" s="2" t="s">
        <v>133</v>
      </c>
      <c r="B688" s="2" t="s">
        <v>18</v>
      </c>
      <c r="C688" s="2" t="s">
        <v>82</v>
      </c>
      <c r="D688" s="2">
        <v>0.0</v>
      </c>
      <c r="E688" s="2">
        <v>0.0</v>
      </c>
      <c r="F688" s="2">
        <v>0.0</v>
      </c>
      <c r="G688" s="2">
        <v>0.0</v>
      </c>
      <c r="H688" s="2">
        <v>0.0</v>
      </c>
    </row>
    <row r="689" ht="14.25" customHeight="1">
      <c r="A689" s="2" t="s">
        <v>133</v>
      </c>
      <c r="B689" s="2" t="s">
        <v>18</v>
      </c>
      <c r="C689" s="2" t="s">
        <v>10</v>
      </c>
      <c r="D689" s="2">
        <v>0.0</v>
      </c>
      <c r="E689" s="2">
        <v>0.0</v>
      </c>
      <c r="F689" s="2">
        <v>0.0</v>
      </c>
      <c r="G689" s="2">
        <v>0.0</v>
      </c>
      <c r="H689" s="2">
        <v>0.0</v>
      </c>
    </row>
    <row r="690" ht="14.25" customHeight="1">
      <c r="A690" s="2" t="s">
        <v>134</v>
      </c>
      <c r="B690" s="2" t="s">
        <v>23</v>
      </c>
      <c r="C690" s="2" t="s">
        <v>24</v>
      </c>
      <c r="D690" s="2">
        <v>9.51</v>
      </c>
      <c r="E690" s="2">
        <v>0.0</v>
      </c>
      <c r="F690" s="2">
        <v>1.93</v>
      </c>
      <c r="G690" s="2">
        <v>0.01</v>
      </c>
      <c r="H690" s="2">
        <v>0.0</v>
      </c>
    </row>
    <row r="691" ht="14.25" customHeight="1">
      <c r="A691" s="2" t="s">
        <v>134</v>
      </c>
      <c r="B691" s="2" t="s">
        <v>23</v>
      </c>
      <c r="C691" s="2" t="s">
        <v>25</v>
      </c>
      <c r="D691" s="2">
        <v>4.76</v>
      </c>
      <c r="E691" s="2">
        <v>0.0</v>
      </c>
      <c r="F691" s="2">
        <v>0.97</v>
      </c>
      <c r="G691" s="2">
        <v>0.01</v>
      </c>
      <c r="H691" s="2">
        <v>0.0</v>
      </c>
    </row>
    <row r="692" ht="14.25" customHeight="1">
      <c r="A692" s="2" t="s">
        <v>134</v>
      </c>
      <c r="B692" s="2" t="s">
        <v>23</v>
      </c>
      <c r="C692" s="2" t="s">
        <v>25</v>
      </c>
      <c r="D692" s="2">
        <v>0.48</v>
      </c>
      <c r="E692" s="2">
        <v>0.0</v>
      </c>
      <c r="F692" s="2">
        <v>0.1</v>
      </c>
      <c r="G692" s="2">
        <v>0.0</v>
      </c>
      <c r="H692" s="2">
        <v>0.0</v>
      </c>
    </row>
    <row r="693" ht="14.25" customHeight="1">
      <c r="A693" s="2" t="s">
        <v>134</v>
      </c>
      <c r="B693" s="2" t="s">
        <v>23</v>
      </c>
      <c r="C693" s="2" t="s">
        <v>25</v>
      </c>
      <c r="D693" s="2">
        <v>0.0</v>
      </c>
      <c r="E693" s="2">
        <v>0.0</v>
      </c>
      <c r="F693" s="2">
        <v>0.0</v>
      </c>
      <c r="G693" s="2">
        <v>0.0</v>
      </c>
      <c r="H693" s="2">
        <v>0.0</v>
      </c>
    </row>
    <row r="694" ht="14.25" customHeight="1">
      <c r="A694" s="2" t="s">
        <v>134</v>
      </c>
      <c r="B694" s="2" t="s">
        <v>23</v>
      </c>
      <c r="C694" s="2" t="s">
        <v>25</v>
      </c>
      <c r="D694" s="2">
        <v>0.0</v>
      </c>
      <c r="E694" s="2">
        <v>0.0</v>
      </c>
      <c r="F694" s="2">
        <v>0.0</v>
      </c>
      <c r="G694" s="2">
        <v>0.0</v>
      </c>
      <c r="H694" s="2">
        <v>0.0</v>
      </c>
    </row>
    <row r="695" ht="14.25" customHeight="1">
      <c r="A695" s="2" t="s">
        <v>134</v>
      </c>
      <c r="B695" s="2" t="s">
        <v>23</v>
      </c>
      <c r="C695" s="2" t="s">
        <v>25</v>
      </c>
      <c r="D695" s="2">
        <v>0.0</v>
      </c>
      <c r="E695" s="2">
        <v>0.0</v>
      </c>
      <c r="F695" s="2">
        <v>0.0</v>
      </c>
      <c r="G695" s="2">
        <v>0.0</v>
      </c>
      <c r="H695" s="2">
        <v>0.0</v>
      </c>
    </row>
    <row r="696" ht="14.25" customHeight="1">
      <c r="A696" s="2" t="s">
        <v>134</v>
      </c>
      <c r="B696" s="2" t="s">
        <v>23</v>
      </c>
      <c r="C696" s="2" t="s">
        <v>32</v>
      </c>
      <c r="D696" s="2">
        <v>6.06</v>
      </c>
      <c r="E696" s="2">
        <v>0.0</v>
      </c>
      <c r="F696" s="2">
        <v>1.23</v>
      </c>
      <c r="G696" s="2">
        <v>0.01</v>
      </c>
      <c r="H696" s="2">
        <v>0.0</v>
      </c>
    </row>
    <row r="697" ht="14.25" customHeight="1">
      <c r="A697" s="2" t="s">
        <v>134</v>
      </c>
      <c r="B697" s="2" t="s">
        <v>23</v>
      </c>
      <c r="C697" s="2" t="s">
        <v>32</v>
      </c>
      <c r="D697" s="2">
        <v>45.03</v>
      </c>
      <c r="E697" s="2">
        <v>0.01</v>
      </c>
      <c r="F697" s="2">
        <v>9.14</v>
      </c>
      <c r="G697" s="2">
        <v>0.07</v>
      </c>
      <c r="H697" s="2">
        <v>0.0</v>
      </c>
    </row>
    <row r="698" ht="14.25" customHeight="1">
      <c r="A698" s="2" t="s">
        <v>134</v>
      </c>
      <c r="B698" s="2" t="s">
        <v>23</v>
      </c>
      <c r="C698" s="2" t="s">
        <v>26</v>
      </c>
      <c r="D698" s="2">
        <v>0.0</v>
      </c>
      <c r="E698" s="2">
        <v>0.0</v>
      </c>
      <c r="F698" s="2">
        <v>0.0</v>
      </c>
      <c r="G698" s="2">
        <v>0.0</v>
      </c>
      <c r="H698" s="2">
        <v>0.0</v>
      </c>
    </row>
    <row r="699" ht="14.25" customHeight="1">
      <c r="A699" s="2" t="s">
        <v>134</v>
      </c>
      <c r="B699" s="2" t="s">
        <v>23</v>
      </c>
      <c r="C699" s="2" t="s">
        <v>33</v>
      </c>
      <c r="D699" s="2">
        <v>0.0</v>
      </c>
      <c r="E699" s="2">
        <v>0.0</v>
      </c>
      <c r="F699" s="2">
        <v>0.0</v>
      </c>
      <c r="G699" s="2">
        <v>0.0</v>
      </c>
      <c r="H699" s="2">
        <v>0.0</v>
      </c>
    </row>
    <row r="700" ht="14.25" customHeight="1">
      <c r="A700" s="2" t="s">
        <v>134</v>
      </c>
      <c r="B700" s="2" t="s">
        <v>23</v>
      </c>
      <c r="C700" s="2" t="s">
        <v>33</v>
      </c>
      <c r="D700" s="2">
        <v>0.0</v>
      </c>
      <c r="E700" s="2">
        <v>0.0</v>
      </c>
      <c r="F700" s="2">
        <v>0.0</v>
      </c>
      <c r="G700" s="2">
        <v>0.0</v>
      </c>
      <c r="H700" s="2">
        <v>0.0</v>
      </c>
    </row>
    <row r="701" ht="14.25" customHeight="1">
      <c r="A701" s="2" t="s">
        <v>134</v>
      </c>
      <c r="B701" s="2" t="s">
        <v>23</v>
      </c>
      <c r="C701" s="2" t="s">
        <v>10</v>
      </c>
      <c r="D701" s="2">
        <v>65.84</v>
      </c>
      <c r="E701" s="2">
        <v>0.01</v>
      </c>
      <c r="F701" s="2">
        <v>13.37</v>
      </c>
      <c r="G701" s="2">
        <v>0.1</v>
      </c>
      <c r="H701" s="2">
        <v>0.0</v>
      </c>
    </row>
    <row r="702" ht="14.25" customHeight="1">
      <c r="A702" s="2" t="s">
        <v>134</v>
      </c>
      <c r="B702" s="2" t="s">
        <v>29</v>
      </c>
      <c r="C702" s="2" t="s">
        <v>34</v>
      </c>
      <c r="D702" s="2">
        <v>7.13</v>
      </c>
      <c r="E702" s="2">
        <v>0.0</v>
      </c>
      <c r="F702" s="2">
        <v>1.45</v>
      </c>
      <c r="G702" s="2">
        <v>0.01</v>
      </c>
      <c r="H702" s="2">
        <v>0.0</v>
      </c>
    </row>
    <row r="703" ht="14.25" customHeight="1">
      <c r="A703" s="2" t="s">
        <v>134</v>
      </c>
      <c r="B703" s="2" t="s">
        <v>29</v>
      </c>
      <c r="C703" s="2" t="s">
        <v>35</v>
      </c>
      <c r="D703" s="2">
        <v>0.0</v>
      </c>
      <c r="E703" s="2">
        <v>0.0</v>
      </c>
      <c r="F703" s="2">
        <v>0.0</v>
      </c>
      <c r="G703" s="2">
        <v>0.0</v>
      </c>
      <c r="H703" s="2">
        <v>0.0</v>
      </c>
    </row>
    <row r="704" ht="14.25" customHeight="1">
      <c r="A704" s="2" t="s">
        <v>134</v>
      </c>
      <c r="B704" s="2" t="s">
        <v>29</v>
      </c>
      <c r="C704" s="2" t="s">
        <v>35</v>
      </c>
      <c r="D704" s="2">
        <v>0.0</v>
      </c>
      <c r="E704" s="2">
        <v>0.0</v>
      </c>
      <c r="F704" s="2">
        <v>0.0</v>
      </c>
      <c r="G704" s="2">
        <v>0.0</v>
      </c>
      <c r="H704" s="2">
        <v>0.0</v>
      </c>
    </row>
    <row r="705" ht="14.25" customHeight="1">
      <c r="A705" s="2" t="s">
        <v>134</v>
      </c>
      <c r="B705" s="2" t="s">
        <v>29</v>
      </c>
      <c r="C705" s="2" t="s">
        <v>35</v>
      </c>
      <c r="D705" s="2">
        <v>0.0</v>
      </c>
      <c r="E705" s="2">
        <v>0.0</v>
      </c>
      <c r="F705" s="2">
        <v>0.0</v>
      </c>
      <c r="G705" s="2">
        <v>0.0</v>
      </c>
      <c r="H705" s="2">
        <v>0.0</v>
      </c>
    </row>
    <row r="706" ht="14.25" customHeight="1">
      <c r="A706" s="2" t="s">
        <v>134</v>
      </c>
      <c r="B706" s="2" t="s">
        <v>29</v>
      </c>
      <c r="C706" s="2" t="s">
        <v>36</v>
      </c>
      <c r="D706" s="2">
        <v>0.0</v>
      </c>
      <c r="E706" s="2">
        <v>0.0</v>
      </c>
      <c r="F706" s="2">
        <v>0.0</v>
      </c>
      <c r="G706" s="2">
        <v>0.0</v>
      </c>
      <c r="H706" s="2">
        <v>0.0</v>
      </c>
    </row>
    <row r="707" ht="14.25" customHeight="1">
      <c r="A707" s="2" t="s">
        <v>134</v>
      </c>
      <c r="B707" s="2" t="s">
        <v>29</v>
      </c>
      <c r="C707" s="2" t="s">
        <v>10</v>
      </c>
      <c r="D707" s="2">
        <v>7.13</v>
      </c>
      <c r="E707" s="2">
        <v>0.0</v>
      </c>
      <c r="F707" s="2">
        <v>1.45</v>
      </c>
      <c r="G707" s="2">
        <v>0.01</v>
      </c>
      <c r="H707" s="2">
        <v>0.0</v>
      </c>
    </row>
    <row r="708" ht="14.25" customHeight="1">
      <c r="A708" s="2" t="s">
        <v>134</v>
      </c>
      <c r="B708" s="2" t="s">
        <v>18</v>
      </c>
      <c r="C708" s="2" t="s">
        <v>10</v>
      </c>
      <c r="D708" s="2">
        <v>0.0</v>
      </c>
      <c r="E708" s="2">
        <v>0.0</v>
      </c>
      <c r="F708" s="2">
        <v>0.0</v>
      </c>
      <c r="G708" s="2">
        <v>0.0</v>
      </c>
      <c r="H708" s="2">
        <v>0.0</v>
      </c>
    </row>
    <row r="709" ht="14.25" customHeight="1">
      <c r="A709" s="2" t="s">
        <v>135</v>
      </c>
      <c r="B709" s="2" t="s">
        <v>9</v>
      </c>
      <c r="C709" s="2" t="s">
        <v>10</v>
      </c>
      <c r="D709" s="2">
        <v>0.0</v>
      </c>
      <c r="E709" s="2">
        <v>0.0</v>
      </c>
      <c r="F709" s="2">
        <v>0.0</v>
      </c>
      <c r="G709" s="2">
        <v>0.0</v>
      </c>
      <c r="H709" s="2">
        <v>0.0</v>
      </c>
    </row>
    <row r="710" ht="14.25" customHeight="1">
      <c r="A710" s="2" t="s">
        <v>135</v>
      </c>
      <c r="B710" s="2" t="s">
        <v>11</v>
      </c>
      <c r="C710" s="2" t="s">
        <v>12</v>
      </c>
      <c r="D710" s="2">
        <v>16.46</v>
      </c>
      <c r="E710" s="2">
        <v>0.0</v>
      </c>
      <c r="F710" s="2">
        <v>7.66</v>
      </c>
      <c r="G710" s="2">
        <v>0.01</v>
      </c>
      <c r="H710" s="2">
        <v>0.02</v>
      </c>
    </row>
    <row r="711" ht="14.25" customHeight="1">
      <c r="A711" s="2" t="s">
        <v>135</v>
      </c>
      <c r="B711" s="2" t="s">
        <v>11</v>
      </c>
      <c r="C711" s="2" t="s">
        <v>12</v>
      </c>
      <c r="D711" s="2">
        <v>10.16</v>
      </c>
      <c r="E711" s="2">
        <v>0.0</v>
      </c>
      <c r="F711" s="2">
        <v>4.73</v>
      </c>
      <c r="G711" s="2">
        <v>0.0</v>
      </c>
      <c r="H711" s="2">
        <v>0.01</v>
      </c>
    </row>
    <row r="712" ht="14.25" customHeight="1">
      <c r="A712" s="2" t="s">
        <v>135</v>
      </c>
      <c r="B712" s="2" t="s">
        <v>11</v>
      </c>
      <c r="C712" s="2" t="s">
        <v>12</v>
      </c>
      <c r="D712" s="2">
        <v>5.97</v>
      </c>
      <c r="E712" s="2">
        <v>0.0</v>
      </c>
      <c r="F712" s="2">
        <v>2.78</v>
      </c>
      <c r="G712" s="2">
        <v>0.0</v>
      </c>
      <c r="H712" s="2">
        <v>0.01</v>
      </c>
    </row>
    <row r="713" ht="14.25" customHeight="1">
      <c r="A713" s="2" t="s">
        <v>135</v>
      </c>
      <c r="B713" s="2" t="s">
        <v>11</v>
      </c>
      <c r="C713" s="2" t="s">
        <v>13</v>
      </c>
      <c r="D713" s="2">
        <v>18.66</v>
      </c>
      <c r="E713" s="2">
        <v>0.0</v>
      </c>
      <c r="F713" s="2">
        <v>8.69</v>
      </c>
      <c r="G713" s="2">
        <v>0.01</v>
      </c>
      <c r="H713" s="2">
        <v>0.02</v>
      </c>
    </row>
    <row r="714" ht="14.25" customHeight="1">
      <c r="A714" s="2" t="s">
        <v>135</v>
      </c>
      <c r="B714" s="2" t="s">
        <v>11</v>
      </c>
      <c r="C714" s="2" t="s">
        <v>14</v>
      </c>
      <c r="D714" s="2">
        <v>2.83</v>
      </c>
      <c r="E714" s="2">
        <v>0.0</v>
      </c>
      <c r="F714" s="2">
        <v>1.32</v>
      </c>
      <c r="G714" s="2">
        <v>0.0</v>
      </c>
      <c r="H714" s="2">
        <v>0.0</v>
      </c>
    </row>
    <row r="715" ht="14.25" customHeight="1">
      <c r="A715" s="2" t="s">
        <v>135</v>
      </c>
      <c r="B715" s="2" t="s">
        <v>11</v>
      </c>
      <c r="C715" s="2" t="s">
        <v>117</v>
      </c>
      <c r="D715" s="2">
        <v>12.02</v>
      </c>
      <c r="E715" s="2">
        <v>0.0</v>
      </c>
      <c r="F715" s="2">
        <v>5.6</v>
      </c>
      <c r="G715" s="2">
        <v>0.01</v>
      </c>
      <c r="H715" s="2">
        <v>0.01</v>
      </c>
    </row>
    <row r="716" ht="14.25" customHeight="1">
      <c r="A716" s="2" t="s">
        <v>135</v>
      </c>
      <c r="B716" s="2" t="s">
        <v>11</v>
      </c>
      <c r="C716" s="2" t="s">
        <v>15</v>
      </c>
      <c r="D716" s="2">
        <v>1.63</v>
      </c>
      <c r="E716" s="2">
        <v>0.0</v>
      </c>
      <c r="F716" s="2">
        <v>0.76</v>
      </c>
      <c r="G716" s="2">
        <v>0.0</v>
      </c>
      <c r="H716" s="2">
        <v>0.0</v>
      </c>
    </row>
    <row r="717" ht="14.25" customHeight="1">
      <c r="A717" s="2" t="s">
        <v>135</v>
      </c>
      <c r="B717" s="2" t="s">
        <v>11</v>
      </c>
      <c r="C717" s="2" t="s">
        <v>16</v>
      </c>
      <c r="D717" s="2">
        <v>7.14</v>
      </c>
      <c r="E717" s="2">
        <v>0.0</v>
      </c>
      <c r="F717" s="2">
        <v>3.33</v>
      </c>
      <c r="G717" s="2">
        <v>0.0</v>
      </c>
      <c r="H717" s="2">
        <v>0.01</v>
      </c>
    </row>
    <row r="718" ht="14.25" customHeight="1">
      <c r="A718" s="2" t="s">
        <v>135</v>
      </c>
      <c r="B718" s="2" t="s">
        <v>11</v>
      </c>
      <c r="C718" s="2" t="s">
        <v>17</v>
      </c>
      <c r="D718" s="2">
        <v>0.0</v>
      </c>
      <c r="E718" s="2">
        <v>0.0</v>
      </c>
      <c r="F718" s="2">
        <v>0.0</v>
      </c>
      <c r="G718" s="2">
        <v>0.0</v>
      </c>
      <c r="H718" s="2">
        <v>0.0</v>
      </c>
    </row>
    <row r="719" ht="14.25" customHeight="1">
      <c r="A719" s="2" t="s">
        <v>135</v>
      </c>
      <c r="B719" s="2" t="s">
        <v>11</v>
      </c>
      <c r="C719" s="2" t="s">
        <v>10</v>
      </c>
      <c r="D719" s="2">
        <v>74.87</v>
      </c>
      <c r="E719" s="2">
        <v>0.0</v>
      </c>
      <c r="F719" s="2">
        <v>34.87</v>
      </c>
      <c r="G719" s="2">
        <v>0.03</v>
      </c>
      <c r="H719" s="2">
        <v>0.08</v>
      </c>
    </row>
    <row r="720" ht="14.25" customHeight="1">
      <c r="A720" s="2" t="s">
        <v>135</v>
      </c>
      <c r="B720" s="2" t="s">
        <v>18</v>
      </c>
      <c r="C720" s="2" t="s">
        <v>10</v>
      </c>
      <c r="D720" s="2">
        <v>0.0</v>
      </c>
      <c r="E720" s="2">
        <v>0.0</v>
      </c>
      <c r="F720" s="2">
        <v>0.0</v>
      </c>
      <c r="G720" s="2">
        <v>0.0</v>
      </c>
      <c r="H720" s="2">
        <v>0.0</v>
      </c>
    </row>
    <row r="721" ht="14.25" customHeight="1">
      <c r="A721" s="2" t="s">
        <v>136</v>
      </c>
      <c r="B721" s="2" t="s">
        <v>21</v>
      </c>
      <c r="C721" s="2" t="s">
        <v>10</v>
      </c>
      <c r="D721" s="2">
        <v>0.0</v>
      </c>
      <c r="E721" s="2">
        <v>0.0</v>
      </c>
      <c r="F721" s="2">
        <v>0.0</v>
      </c>
      <c r="G721" s="2">
        <v>0.0</v>
      </c>
      <c r="H721" s="2">
        <v>0.0</v>
      </c>
    </row>
    <row r="722" ht="14.25" customHeight="1">
      <c r="A722" s="2" t="s">
        <v>136</v>
      </c>
      <c r="B722" s="2" t="s">
        <v>22</v>
      </c>
      <c r="C722" s="2" t="s">
        <v>10</v>
      </c>
      <c r="D722" s="2">
        <v>0.0</v>
      </c>
      <c r="E722" s="2">
        <v>0.0</v>
      </c>
      <c r="F722" s="2">
        <v>0.0</v>
      </c>
      <c r="G722" s="2">
        <v>0.0</v>
      </c>
      <c r="H722" s="2">
        <v>0.0</v>
      </c>
    </row>
    <row r="723" ht="14.25" customHeight="1">
      <c r="A723" s="2" t="s">
        <v>136</v>
      </c>
      <c r="B723" s="2" t="s">
        <v>23</v>
      </c>
      <c r="C723" s="2" t="s">
        <v>24</v>
      </c>
      <c r="D723" s="2">
        <v>70.39</v>
      </c>
      <c r="E723" s="2">
        <v>0.07</v>
      </c>
      <c r="F723" s="2">
        <v>45.9</v>
      </c>
      <c r="G723" s="2">
        <v>0.16</v>
      </c>
      <c r="H723" s="2">
        <v>0.0</v>
      </c>
    </row>
    <row r="724" ht="14.25" customHeight="1">
      <c r="A724" s="2" t="s">
        <v>136</v>
      </c>
      <c r="B724" s="2" t="s">
        <v>23</v>
      </c>
      <c r="C724" s="2" t="s">
        <v>24</v>
      </c>
      <c r="D724" s="2">
        <v>5.97</v>
      </c>
      <c r="E724" s="2">
        <v>0.01</v>
      </c>
      <c r="F724" s="2">
        <v>3.9</v>
      </c>
      <c r="G724" s="2">
        <v>0.01</v>
      </c>
      <c r="H724" s="2">
        <v>0.0</v>
      </c>
    </row>
    <row r="725" ht="14.25" customHeight="1">
      <c r="A725" s="2" t="s">
        <v>136</v>
      </c>
      <c r="B725" s="2" t="s">
        <v>23</v>
      </c>
      <c r="C725" s="2" t="s">
        <v>24</v>
      </c>
      <c r="D725" s="2">
        <v>6.65</v>
      </c>
      <c r="E725" s="2">
        <v>0.01</v>
      </c>
      <c r="F725" s="2">
        <v>4.34</v>
      </c>
      <c r="G725" s="2">
        <v>0.02</v>
      </c>
      <c r="H725" s="2">
        <v>0.0</v>
      </c>
    </row>
    <row r="726" ht="14.25" customHeight="1">
      <c r="A726" s="2" t="s">
        <v>136</v>
      </c>
      <c r="B726" s="2" t="s">
        <v>23</v>
      </c>
      <c r="C726" s="2" t="s">
        <v>25</v>
      </c>
      <c r="D726" s="2">
        <v>39.74</v>
      </c>
      <c r="E726" s="2">
        <v>0.04</v>
      </c>
      <c r="F726" s="2">
        <v>25.91</v>
      </c>
      <c r="G726" s="2">
        <v>0.09</v>
      </c>
      <c r="H726" s="2">
        <v>0.0</v>
      </c>
    </row>
    <row r="727" ht="14.25" customHeight="1">
      <c r="A727" s="2" t="s">
        <v>136</v>
      </c>
      <c r="B727" s="2" t="s">
        <v>23</v>
      </c>
      <c r="C727" s="2" t="s">
        <v>25</v>
      </c>
      <c r="D727" s="2">
        <v>3.38</v>
      </c>
      <c r="E727" s="2">
        <v>0.0</v>
      </c>
      <c r="F727" s="2">
        <v>2.2</v>
      </c>
      <c r="G727" s="2">
        <v>0.01</v>
      </c>
      <c r="H727" s="2">
        <v>0.0</v>
      </c>
    </row>
    <row r="728" ht="14.25" customHeight="1">
      <c r="A728" s="2" t="s">
        <v>136</v>
      </c>
      <c r="B728" s="2" t="s">
        <v>23</v>
      </c>
      <c r="C728" s="2" t="s">
        <v>25</v>
      </c>
      <c r="D728" s="2">
        <v>3.74</v>
      </c>
      <c r="E728" s="2">
        <v>0.0</v>
      </c>
      <c r="F728" s="2">
        <v>2.44</v>
      </c>
      <c r="G728" s="2">
        <v>0.01</v>
      </c>
      <c r="H728" s="2">
        <v>0.0</v>
      </c>
    </row>
    <row r="729" ht="14.25" customHeight="1">
      <c r="A729" s="2" t="s">
        <v>136</v>
      </c>
      <c r="B729" s="2" t="s">
        <v>23</v>
      </c>
      <c r="C729" s="2" t="s">
        <v>32</v>
      </c>
      <c r="D729" s="2">
        <v>0.67</v>
      </c>
      <c r="E729" s="2">
        <v>0.0</v>
      </c>
      <c r="F729" s="2">
        <v>0.44</v>
      </c>
      <c r="G729" s="2">
        <v>0.0</v>
      </c>
      <c r="H729" s="2">
        <v>0.0</v>
      </c>
    </row>
    <row r="730" ht="14.25" customHeight="1">
      <c r="A730" s="2" t="s">
        <v>136</v>
      </c>
      <c r="B730" s="2" t="s">
        <v>23</v>
      </c>
      <c r="C730" s="2" t="s">
        <v>26</v>
      </c>
      <c r="D730" s="2">
        <v>3.35</v>
      </c>
      <c r="E730" s="2">
        <v>0.0</v>
      </c>
      <c r="F730" s="2">
        <v>2.18</v>
      </c>
      <c r="G730" s="2">
        <v>0.01</v>
      </c>
      <c r="H730" s="2">
        <v>0.0</v>
      </c>
    </row>
    <row r="731" ht="14.25" customHeight="1">
      <c r="A731" s="2" t="s">
        <v>136</v>
      </c>
      <c r="B731" s="2" t="s">
        <v>23</v>
      </c>
      <c r="C731" s="2" t="s">
        <v>46</v>
      </c>
      <c r="D731" s="2">
        <v>0.0</v>
      </c>
      <c r="E731" s="2">
        <v>0.0</v>
      </c>
      <c r="F731" s="2">
        <v>0.0</v>
      </c>
      <c r="G731" s="2">
        <v>0.0</v>
      </c>
      <c r="H731" s="2">
        <v>0.0</v>
      </c>
    </row>
    <row r="732" ht="14.25" customHeight="1">
      <c r="A732" s="2" t="s">
        <v>136</v>
      </c>
      <c r="B732" s="2" t="s">
        <v>23</v>
      </c>
      <c r="C732" s="2" t="s">
        <v>33</v>
      </c>
      <c r="D732" s="2">
        <v>0.0</v>
      </c>
      <c r="E732" s="2">
        <v>0.0</v>
      </c>
      <c r="F732" s="2">
        <v>0.0</v>
      </c>
      <c r="G732" s="2">
        <v>0.0</v>
      </c>
      <c r="H732" s="2">
        <v>0.0</v>
      </c>
    </row>
    <row r="733" ht="14.25" customHeight="1">
      <c r="A733" s="2" t="s">
        <v>136</v>
      </c>
      <c r="B733" s="2" t="s">
        <v>23</v>
      </c>
      <c r="C733" s="2" t="s">
        <v>27</v>
      </c>
      <c r="D733" s="2">
        <v>20.62</v>
      </c>
      <c r="E733" s="2">
        <v>0.02</v>
      </c>
      <c r="F733" s="2">
        <v>13.44</v>
      </c>
      <c r="G733" s="2">
        <v>0.05</v>
      </c>
      <c r="H733" s="2">
        <v>0.0</v>
      </c>
    </row>
    <row r="734" ht="14.25" customHeight="1">
      <c r="A734" s="2" t="s">
        <v>136</v>
      </c>
      <c r="B734" s="2" t="s">
        <v>23</v>
      </c>
      <c r="C734" s="2" t="s">
        <v>28</v>
      </c>
      <c r="D734" s="2">
        <v>0.0</v>
      </c>
      <c r="E734" s="2">
        <v>0.0</v>
      </c>
      <c r="F734" s="2">
        <v>0.0</v>
      </c>
      <c r="G734" s="2">
        <v>0.0</v>
      </c>
      <c r="H734" s="2">
        <v>0.0</v>
      </c>
    </row>
    <row r="735" ht="14.25" customHeight="1">
      <c r="A735" s="2" t="s">
        <v>136</v>
      </c>
      <c r="B735" s="2" t="s">
        <v>23</v>
      </c>
      <c r="C735" s="2" t="s">
        <v>10</v>
      </c>
      <c r="D735" s="2">
        <v>154.51</v>
      </c>
      <c r="E735" s="2">
        <v>0.15</v>
      </c>
      <c r="F735" s="2">
        <v>100.75</v>
      </c>
      <c r="G735" s="2">
        <v>0.36</v>
      </c>
      <c r="H735" s="2">
        <v>0.0</v>
      </c>
    </row>
    <row r="736" ht="14.25" customHeight="1">
      <c r="A736" s="2" t="s">
        <v>136</v>
      </c>
      <c r="B736" s="2" t="s">
        <v>29</v>
      </c>
      <c r="C736" s="2" t="s">
        <v>10</v>
      </c>
      <c r="D736" s="2">
        <v>0.0</v>
      </c>
      <c r="E736" s="2">
        <v>0.0</v>
      </c>
      <c r="F736" s="2">
        <v>0.0</v>
      </c>
      <c r="G736" s="2">
        <v>0.0</v>
      </c>
      <c r="H736" s="2">
        <v>0.0</v>
      </c>
    </row>
    <row r="737" ht="14.25" customHeight="1">
      <c r="A737" s="2" t="s">
        <v>136</v>
      </c>
      <c r="B737" s="2" t="s">
        <v>18</v>
      </c>
      <c r="C737" s="2" t="s">
        <v>10</v>
      </c>
      <c r="D737" s="2">
        <v>0.0</v>
      </c>
      <c r="E737" s="2">
        <v>0.0</v>
      </c>
      <c r="F737" s="2">
        <v>0.0</v>
      </c>
      <c r="G737" s="2">
        <v>0.0</v>
      </c>
      <c r="H737" s="2">
        <v>0.0</v>
      </c>
    </row>
    <row r="738" ht="14.25" customHeight="1">
      <c r="A738" s="2" t="s">
        <v>137</v>
      </c>
      <c r="B738" s="2" t="s">
        <v>9</v>
      </c>
      <c r="C738" s="2" t="s">
        <v>10</v>
      </c>
      <c r="D738" s="2">
        <v>0.0</v>
      </c>
      <c r="E738" s="2">
        <v>0.0</v>
      </c>
      <c r="F738" s="2">
        <v>0.0</v>
      </c>
      <c r="G738" s="2">
        <v>0.0</v>
      </c>
      <c r="H738" s="2">
        <v>0.0</v>
      </c>
    </row>
    <row r="739" ht="14.25" customHeight="1">
      <c r="A739" s="2" t="s">
        <v>137</v>
      </c>
      <c r="B739" s="2" t="s">
        <v>11</v>
      </c>
      <c r="C739" s="2" t="s">
        <v>12</v>
      </c>
      <c r="D739" s="2">
        <v>16.87</v>
      </c>
      <c r="E739" s="2">
        <v>0.0</v>
      </c>
      <c r="F739" s="2">
        <v>7.85</v>
      </c>
      <c r="G739" s="2">
        <v>0.01</v>
      </c>
      <c r="H739" s="2">
        <v>0.02</v>
      </c>
    </row>
    <row r="740" ht="14.25" customHeight="1">
      <c r="A740" s="2" t="s">
        <v>137</v>
      </c>
      <c r="B740" s="2" t="s">
        <v>11</v>
      </c>
      <c r="C740" s="2" t="s">
        <v>12</v>
      </c>
      <c r="D740" s="2">
        <v>10.42</v>
      </c>
      <c r="E740" s="2">
        <v>0.0</v>
      </c>
      <c r="F740" s="2">
        <v>4.85</v>
      </c>
      <c r="G740" s="2">
        <v>0.0</v>
      </c>
      <c r="H740" s="2">
        <v>0.01</v>
      </c>
    </row>
    <row r="741" ht="14.25" customHeight="1">
      <c r="A741" s="2" t="s">
        <v>137</v>
      </c>
      <c r="B741" s="2" t="s">
        <v>11</v>
      </c>
      <c r="C741" s="2" t="s">
        <v>12</v>
      </c>
      <c r="D741" s="2">
        <v>6.15</v>
      </c>
      <c r="E741" s="2">
        <v>0.0</v>
      </c>
      <c r="F741" s="2">
        <v>2.86</v>
      </c>
      <c r="G741" s="2">
        <v>0.0</v>
      </c>
      <c r="H741" s="2">
        <v>0.01</v>
      </c>
    </row>
    <row r="742" ht="14.25" customHeight="1">
      <c r="A742" s="2" t="s">
        <v>137</v>
      </c>
      <c r="B742" s="2" t="s">
        <v>11</v>
      </c>
      <c r="C742" s="2" t="s">
        <v>13</v>
      </c>
      <c r="D742" s="2">
        <v>19.13</v>
      </c>
      <c r="E742" s="2">
        <v>0.0</v>
      </c>
      <c r="F742" s="2">
        <v>8.91</v>
      </c>
      <c r="G742" s="2">
        <v>0.01</v>
      </c>
      <c r="H742" s="2">
        <v>0.02</v>
      </c>
    </row>
    <row r="743" ht="14.25" customHeight="1">
      <c r="A743" s="2" t="s">
        <v>137</v>
      </c>
      <c r="B743" s="2" t="s">
        <v>11</v>
      </c>
      <c r="C743" s="2" t="s">
        <v>14</v>
      </c>
      <c r="D743" s="2">
        <v>2.9</v>
      </c>
      <c r="E743" s="2">
        <v>0.0</v>
      </c>
      <c r="F743" s="2">
        <v>1.35</v>
      </c>
      <c r="G743" s="2">
        <v>0.0</v>
      </c>
      <c r="H743" s="2">
        <v>0.0</v>
      </c>
    </row>
    <row r="744" ht="14.25" customHeight="1">
      <c r="A744" s="2" t="s">
        <v>137</v>
      </c>
      <c r="B744" s="2" t="s">
        <v>11</v>
      </c>
      <c r="C744" s="2" t="s">
        <v>117</v>
      </c>
      <c r="D744" s="2">
        <v>2.33</v>
      </c>
      <c r="E744" s="2">
        <v>0.0</v>
      </c>
      <c r="F744" s="2">
        <v>1.08</v>
      </c>
      <c r="G744" s="2">
        <v>0.0</v>
      </c>
      <c r="H744" s="2">
        <v>0.0</v>
      </c>
    </row>
    <row r="745" ht="14.25" customHeight="1">
      <c r="A745" s="2" t="s">
        <v>137</v>
      </c>
      <c r="B745" s="2" t="s">
        <v>11</v>
      </c>
      <c r="C745" s="2" t="s">
        <v>15</v>
      </c>
      <c r="D745" s="2">
        <v>1.66</v>
      </c>
      <c r="E745" s="2">
        <v>0.0</v>
      </c>
      <c r="F745" s="2">
        <v>0.77</v>
      </c>
      <c r="G745" s="2">
        <v>0.0</v>
      </c>
      <c r="H745" s="2">
        <v>0.0</v>
      </c>
    </row>
    <row r="746" ht="14.25" customHeight="1">
      <c r="A746" s="2" t="s">
        <v>137</v>
      </c>
      <c r="B746" s="2" t="s">
        <v>11</v>
      </c>
      <c r="C746" s="2" t="s">
        <v>16</v>
      </c>
      <c r="D746" s="2">
        <v>7.62</v>
      </c>
      <c r="E746" s="2">
        <v>0.0</v>
      </c>
      <c r="F746" s="2">
        <v>3.55</v>
      </c>
      <c r="G746" s="2">
        <v>0.0</v>
      </c>
      <c r="H746" s="2">
        <v>0.01</v>
      </c>
    </row>
    <row r="747" ht="14.25" customHeight="1">
      <c r="A747" s="2" t="s">
        <v>137</v>
      </c>
      <c r="B747" s="2" t="s">
        <v>11</v>
      </c>
      <c r="C747" s="2" t="s">
        <v>17</v>
      </c>
      <c r="D747" s="2">
        <v>0.0</v>
      </c>
      <c r="E747" s="2">
        <v>0.0</v>
      </c>
      <c r="F747" s="2">
        <v>0.0</v>
      </c>
      <c r="G747" s="2">
        <v>0.0</v>
      </c>
      <c r="H747" s="2">
        <v>0.0</v>
      </c>
    </row>
    <row r="748" ht="14.25" customHeight="1">
      <c r="A748" s="2" t="s">
        <v>137</v>
      </c>
      <c r="B748" s="2" t="s">
        <v>11</v>
      </c>
      <c r="C748" s="2" t="s">
        <v>10</v>
      </c>
      <c r="D748" s="2">
        <v>67.08</v>
      </c>
      <c r="E748" s="2">
        <v>0.0</v>
      </c>
      <c r="F748" s="2">
        <v>31.22</v>
      </c>
      <c r="G748" s="2">
        <v>0.02</v>
      </c>
      <c r="H748" s="2">
        <v>0.07</v>
      </c>
    </row>
    <row r="749" ht="14.25" customHeight="1">
      <c r="A749" s="2" t="s">
        <v>137</v>
      </c>
      <c r="B749" s="2" t="s">
        <v>18</v>
      </c>
      <c r="C749" s="2" t="s">
        <v>10</v>
      </c>
      <c r="D749" s="2">
        <v>0.0</v>
      </c>
      <c r="E749" s="2">
        <v>0.0</v>
      </c>
      <c r="F749" s="2">
        <v>0.0</v>
      </c>
      <c r="G749" s="2">
        <v>0.0</v>
      </c>
      <c r="H749" s="2">
        <v>0.0</v>
      </c>
    </row>
    <row r="750" ht="14.25" customHeight="1">
      <c r="A750" s="2" t="s">
        <v>138</v>
      </c>
      <c r="B750" s="2" t="s">
        <v>38</v>
      </c>
      <c r="C750" s="2" t="s">
        <v>39</v>
      </c>
      <c r="D750" s="2">
        <v>1.38</v>
      </c>
      <c r="E750" s="2">
        <v>0.0</v>
      </c>
      <c r="F750" s="2">
        <v>1.07</v>
      </c>
      <c r="G750" s="2">
        <v>0.0</v>
      </c>
      <c r="H750" s="2">
        <v>0.0</v>
      </c>
    </row>
    <row r="751" ht="14.25" customHeight="1">
      <c r="A751" s="2" t="s">
        <v>138</v>
      </c>
      <c r="B751" s="2" t="s">
        <v>38</v>
      </c>
      <c r="C751" s="2" t="s">
        <v>39</v>
      </c>
      <c r="D751" s="2">
        <v>0.83</v>
      </c>
      <c r="E751" s="2">
        <v>0.0</v>
      </c>
      <c r="F751" s="2">
        <v>0.39</v>
      </c>
      <c r="G751" s="2">
        <v>0.0</v>
      </c>
      <c r="H751" s="2">
        <v>0.0</v>
      </c>
    </row>
    <row r="752" ht="14.25" customHeight="1">
      <c r="A752" s="2" t="s">
        <v>138</v>
      </c>
      <c r="B752" s="2" t="s">
        <v>38</v>
      </c>
      <c r="C752" s="2" t="s">
        <v>39</v>
      </c>
      <c r="D752" s="2">
        <v>17.63</v>
      </c>
      <c r="E752" s="2">
        <v>0.01</v>
      </c>
      <c r="F752" s="2">
        <v>13.74</v>
      </c>
      <c r="G752" s="2">
        <v>0.03</v>
      </c>
      <c r="H752" s="2">
        <v>0.0</v>
      </c>
    </row>
    <row r="753" ht="14.25" customHeight="1">
      <c r="A753" s="2" t="s">
        <v>138</v>
      </c>
      <c r="B753" s="2" t="s">
        <v>38</v>
      </c>
      <c r="C753" s="2" t="s">
        <v>39</v>
      </c>
      <c r="D753" s="2">
        <v>3.72</v>
      </c>
      <c r="E753" s="2">
        <v>0.0</v>
      </c>
      <c r="F753" s="2">
        <v>2.9</v>
      </c>
      <c r="G753" s="2">
        <v>0.01</v>
      </c>
      <c r="H753" s="2">
        <v>0.0</v>
      </c>
    </row>
    <row r="754" ht="14.25" customHeight="1">
      <c r="A754" s="2" t="s">
        <v>138</v>
      </c>
      <c r="B754" s="2" t="s">
        <v>38</v>
      </c>
      <c r="C754" s="2" t="s">
        <v>16</v>
      </c>
      <c r="D754" s="2">
        <v>28.58</v>
      </c>
      <c r="E754" s="2">
        <v>0.0</v>
      </c>
      <c r="F754" s="2">
        <v>13.31</v>
      </c>
      <c r="G754" s="2">
        <v>0.01</v>
      </c>
      <c r="H754" s="2">
        <v>0.03</v>
      </c>
    </row>
    <row r="755" ht="14.25" customHeight="1">
      <c r="A755" s="2" t="s">
        <v>138</v>
      </c>
      <c r="B755" s="2" t="s">
        <v>38</v>
      </c>
      <c r="C755" s="2" t="s">
        <v>17</v>
      </c>
      <c r="D755" s="2">
        <v>0.0</v>
      </c>
      <c r="E755" s="2">
        <v>0.0</v>
      </c>
      <c r="F755" s="2">
        <v>0.0</v>
      </c>
      <c r="G755" s="2">
        <v>0.0</v>
      </c>
      <c r="H755" s="2">
        <v>0.0</v>
      </c>
    </row>
    <row r="756" ht="14.25" customHeight="1">
      <c r="A756" s="2" t="s">
        <v>138</v>
      </c>
      <c r="B756" s="2" t="s">
        <v>38</v>
      </c>
      <c r="C756" s="2" t="s">
        <v>10</v>
      </c>
      <c r="D756" s="2">
        <v>52.14</v>
      </c>
      <c r="E756" s="2">
        <v>0.01</v>
      </c>
      <c r="F756" s="2">
        <v>31.41</v>
      </c>
      <c r="G756" s="2">
        <v>0.05</v>
      </c>
      <c r="H756" s="2">
        <v>0.03</v>
      </c>
    </row>
    <row r="757" ht="14.25" customHeight="1">
      <c r="A757" s="2" t="s">
        <v>138</v>
      </c>
      <c r="B757" s="2" t="s">
        <v>18</v>
      </c>
      <c r="C757" s="2" t="s">
        <v>10</v>
      </c>
      <c r="D757" s="2">
        <v>0.0</v>
      </c>
      <c r="E757" s="2">
        <v>0.0</v>
      </c>
      <c r="F757" s="2">
        <v>0.0</v>
      </c>
      <c r="G757" s="2">
        <v>0.0</v>
      </c>
      <c r="H757" s="2">
        <v>0.0</v>
      </c>
    </row>
    <row r="758" ht="14.25" customHeight="1">
      <c r="A758" s="2" t="s">
        <v>139</v>
      </c>
      <c r="B758" s="2" t="s">
        <v>23</v>
      </c>
      <c r="C758" s="2" t="s">
        <v>24</v>
      </c>
      <c r="D758" s="2">
        <v>1.32</v>
      </c>
      <c r="E758" s="2">
        <v>0.0</v>
      </c>
      <c r="F758" s="2">
        <v>0.86</v>
      </c>
      <c r="G758" s="2">
        <v>0.0</v>
      </c>
      <c r="H758" s="2">
        <v>0.0</v>
      </c>
    </row>
    <row r="759" ht="14.25" customHeight="1">
      <c r="A759" s="2" t="s">
        <v>139</v>
      </c>
      <c r="B759" s="2" t="s">
        <v>23</v>
      </c>
      <c r="C759" s="2" t="s">
        <v>24</v>
      </c>
      <c r="D759" s="2">
        <v>0.66</v>
      </c>
      <c r="E759" s="2">
        <v>0.0</v>
      </c>
      <c r="F759" s="2">
        <v>0.44</v>
      </c>
      <c r="G759" s="2">
        <v>0.0</v>
      </c>
      <c r="H759" s="2">
        <v>0.0</v>
      </c>
    </row>
    <row r="760" ht="14.25" customHeight="1">
      <c r="A760" s="2" t="s">
        <v>139</v>
      </c>
      <c r="B760" s="2" t="s">
        <v>23</v>
      </c>
      <c r="C760" s="2" t="s">
        <v>24</v>
      </c>
      <c r="D760" s="2">
        <v>0.66</v>
      </c>
      <c r="E760" s="2">
        <v>0.0</v>
      </c>
      <c r="F760" s="2">
        <v>0.44</v>
      </c>
      <c r="G760" s="2">
        <v>0.0</v>
      </c>
      <c r="H760" s="2">
        <v>0.0</v>
      </c>
    </row>
    <row r="761" ht="14.25" customHeight="1">
      <c r="A761" s="2" t="s">
        <v>139</v>
      </c>
      <c r="B761" s="2" t="s">
        <v>23</v>
      </c>
      <c r="C761" s="2" t="s">
        <v>25</v>
      </c>
      <c r="D761" s="2">
        <v>0.74</v>
      </c>
      <c r="E761" s="2">
        <v>0.0</v>
      </c>
      <c r="F761" s="2">
        <v>0.48</v>
      </c>
      <c r="G761" s="2">
        <v>0.0</v>
      </c>
      <c r="H761" s="2">
        <v>0.0</v>
      </c>
    </row>
    <row r="762" ht="14.25" customHeight="1">
      <c r="A762" s="2" t="s">
        <v>139</v>
      </c>
      <c r="B762" s="2" t="s">
        <v>23</v>
      </c>
      <c r="C762" s="2" t="s">
        <v>25</v>
      </c>
      <c r="D762" s="2">
        <v>0.38</v>
      </c>
      <c r="E762" s="2">
        <v>0.0</v>
      </c>
      <c r="F762" s="2">
        <v>0.24</v>
      </c>
      <c r="G762" s="2">
        <v>0.0</v>
      </c>
      <c r="H762" s="2">
        <v>0.0</v>
      </c>
    </row>
    <row r="763" ht="14.25" customHeight="1">
      <c r="A763" s="2" t="s">
        <v>139</v>
      </c>
      <c r="B763" s="2" t="s">
        <v>23</v>
      </c>
      <c r="C763" s="2" t="s">
        <v>25</v>
      </c>
      <c r="D763" s="2">
        <v>0.38</v>
      </c>
      <c r="E763" s="2">
        <v>0.0</v>
      </c>
      <c r="F763" s="2">
        <v>0.24</v>
      </c>
      <c r="G763" s="2">
        <v>0.0</v>
      </c>
      <c r="H763" s="2">
        <v>0.0</v>
      </c>
    </row>
    <row r="764" ht="14.25" customHeight="1">
      <c r="A764" s="2" t="s">
        <v>139</v>
      </c>
      <c r="B764" s="2" t="s">
        <v>23</v>
      </c>
      <c r="C764" s="2" t="s">
        <v>32</v>
      </c>
      <c r="D764" s="2">
        <v>0.02</v>
      </c>
      <c r="E764" s="2">
        <v>0.0</v>
      </c>
      <c r="F764" s="2">
        <v>0.02</v>
      </c>
      <c r="G764" s="2">
        <v>0.0</v>
      </c>
      <c r="H764" s="2">
        <v>0.0</v>
      </c>
    </row>
    <row r="765" ht="14.25" customHeight="1">
      <c r="A765" s="2" t="s">
        <v>139</v>
      </c>
      <c r="B765" s="2" t="s">
        <v>23</v>
      </c>
      <c r="C765" s="2" t="s">
        <v>26</v>
      </c>
      <c r="D765" s="2">
        <v>0.08</v>
      </c>
      <c r="E765" s="2">
        <v>0.0</v>
      </c>
      <c r="F765" s="2">
        <v>0.06</v>
      </c>
      <c r="G765" s="2">
        <v>0.0</v>
      </c>
      <c r="H765" s="2">
        <v>0.0</v>
      </c>
    </row>
    <row r="766" ht="14.25" customHeight="1">
      <c r="A766" s="2" t="s">
        <v>139</v>
      </c>
      <c r="B766" s="2" t="s">
        <v>23</v>
      </c>
      <c r="C766" s="2" t="s">
        <v>46</v>
      </c>
      <c r="D766" s="2">
        <v>0.0</v>
      </c>
      <c r="E766" s="2">
        <v>0.0</v>
      </c>
      <c r="F766" s="2">
        <v>0.0</v>
      </c>
      <c r="G766" s="2">
        <v>0.0</v>
      </c>
      <c r="H766" s="2">
        <v>0.0</v>
      </c>
    </row>
    <row r="767" ht="14.25" customHeight="1">
      <c r="A767" s="2" t="s">
        <v>139</v>
      </c>
      <c r="B767" s="2" t="s">
        <v>23</v>
      </c>
      <c r="C767" s="2" t="s">
        <v>33</v>
      </c>
      <c r="D767" s="2">
        <v>0.0</v>
      </c>
      <c r="E767" s="2">
        <v>0.0</v>
      </c>
      <c r="F767" s="2">
        <v>0.0</v>
      </c>
      <c r="G767" s="2">
        <v>0.0</v>
      </c>
      <c r="H767" s="2">
        <v>0.0</v>
      </c>
    </row>
    <row r="768" ht="14.25" customHeight="1">
      <c r="A768" s="2" t="s">
        <v>139</v>
      </c>
      <c r="B768" s="2" t="s">
        <v>23</v>
      </c>
      <c r="C768" s="2" t="s">
        <v>27</v>
      </c>
      <c r="D768" s="2">
        <v>6.54</v>
      </c>
      <c r="E768" s="2">
        <v>0.0</v>
      </c>
      <c r="F768" s="2">
        <v>4.26</v>
      </c>
      <c r="G768" s="2">
        <v>0.02</v>
      </c>
      <c r="H768" s="2">
        <v>0.0</v>
      </c>
    </row>
    <row r="769" ht="14.25" customHeight="1">
      <c r="A769" s="2" t="s">
        <v>139</v>
      </c>
      <c r="B769" s="2" t="s">
        <v>23</v>
      </c>
      <c r="C769" s="2" t="s">
        <v>28</v>
      </c>
      <c r="D769" s="2">
        <v>0.0</v>
      </c>
      <c r="E769" s="2">
        <v>0.0</v>
      </c>
      <c r="F769" s="2">
        <v>0.0</v>
      </c>
      <c r="G769" s="2">
        <v>0.0</v>
      </c>
      <c r="H769" s="2">
        <v>0.0</v>
      </c>
    </row>
    <row r="770" ht="14.25" customHeight="1">
      <c r="A770" s="2" t="s">
        <v>139</v>
      </c>
      <c r="B770" s="2" t="s">
        <v>23</v>
      </c>
      <c r="C770" s="2" t="s">
        <v>10</v>
      </c>
      <c r="D770" s="2">
        <v>10.78</v>
      </c>
      <c r="E770" s="2">
        <v>0.0</v>
      </c>
      <c r="F770" s="2">
        <v>7.04</v>
      </c>
      <c r="G770" s="2">
        <v>0.02</v>
      </c>
      <c r="H770" s="2">
        <v>0.0</v>
      </c>
    </row>
    <row r="771" ht="14.25" customHeight="1">
      <c r="A771" s="2" t="s">
        <v>139</v>
      </c>
      <c r="B771" s="2" t="s">
        <v>29</v>
      </c>
      <c r="C771" s="2" t="s">
        <v>10</v>
      </c>
      <c r="D771" s="2">
        <v>0.0</v>
      </c>
      <c r="E771" s="2">
        <v>0.0</v>
      </c>
      <c r="F771" s="2">
        <v>0.0</v>
      </c>
      <c r="G771" s="2">
        <v>0.0</v>
      </c>
      <c r="H771" s="2">
        <v>0.0</v>
      </c>
    </row>
    <row r="772" ht="14.25" customHeight="1">
      <c r="A772" s="2" t="s">
        <v>139</v>
      </c>
      <c r="B772" s="2" t="s">
        <v>18</v>
      </c>
      <c r="C772" s="2" t="s">
        <v>10</v>
      </c>
      <c r="D772" s="2">
        <v>0.0</v>
      </c>
      <c r="E772" s="2">
        <v>0.0</v>
      </c>
      <c r="F772" s="2">
        <v>0.0</v>
      </c>
      <c r="G772" s="2">
        <v>0.0</v>
      </c>
      <c r="H772" s="2">
        <v>0.0</v>
      </c>
    </row>
    <row r="773" ht="14.25" customHeight="1">
      <c r="A773" s="2" t="s">
        <v>140</v>
      </c>
      <c r="B773" s="2" t="s">
        <v>53</v>
      </c>
      <c r="C773" s="2" t="s">
        <v>54</v>
      </c>
      <c r="D773" s="2">
        <v>0.0</v>
      </c>
      <c r="E773" s="2">
        <v>0.0</v>
      </c>
      <c r="F773" s="2">
        <v>0.0</v>
      </c>
      <c r="G773" s="2">
        <v>0.0</v>
      </c>
      <c r="H773" s="2">
        <v>0.0</v>
      </c>
    </row>
    <row r="774" ht="14.25" customHeight="1">
      <c r="A774" s="2" t="s">
        <v>140</v>
      </c>
      <c r="B774" s="2" t="s">
        <v>53</v>
      </c>
      <c r="C774" s="2" t="s">
        <v>128</v>
      </c>
      <c r="D774" s="2">
        <v>0.0</v>
      </c>
      <c r="E774" s="2">
        <v>0.0</v>
      </c>
      <c r="F774" s="2">
        <v>0.0</v>
      </c>
      <c r="G774" s="2">
        <v>0.0</v>
      </c>
      <c r="H774" s="2">
        <v>0.0</v>
      </c>
    </row>
    <row r="775" ht="14.25" customHeight="1">
      <c r="A775" s="2" t="s">
        <v>140</v>
      </c>
      <c r="B775" s="2" t="s">
        <v>53</v>
      </c>
      <c r="C775" s="2" t="s">
        <v>122</v>
      </c>
      <c r="D775" s="2">
        <v>0.0</v>
      </c>
      <c r="E775" s="2">
        <v>0.0</v>
      </c>
      <c r="F775" s="2">
        <v>0.0</v>
      </c>
      <c r="G775" s="2">
        <v>0.0</v>
      </c>
      <c r="H775" s="2">
        <v>0.0</v>
      </c>
    </row>
    <row r="776" ht="14.25" customHeight="1">
      <c r="A776" s="2" t="s">
        <v>140</v>
      </c>
      <c r="B776" s="2" t="s">
        <v>53</v>
      </c>
      <c r="C776" s="2" t="s">
        <v>124</v>
      </c>
      <c r="D776" s="2">
        <v>0.0</v>
      </c>
      <c r="E776" s="2">
        <v>0.0</v>
      </c>
      <c r="F776" s="2">
        <v>0.0</v>
      </c>
      <c r="G776" s="2">
        <v>0.0</v>
      </c>
      <c r="H776" s="2">
        <v>0.0</v>
      </c>
    </row>
    <row r="777" ht="14.25" customHeight="1">
      <c r="A777" s="2" t="s">
        <v>140</v>
      </c>
      <c r="B777" s="2" t="s">
        <v>53</v>
      </c>
      <c r="C777" s="2" t="s">
        <v>55</v>
      </c>
      <c r="D777" s="2">
        <v>0.0</v>
      </c>
      <c r="E777" s="2">
        <v>0.0</v>
      </c>
      <c r="F777" s="2">
        <v>0.0</v>
      </c>
      <c r="G777" s="2">
        <v>0.0</v>
      </c>
      <c r="H777" s="2">
        <v>0.0</v>
      </c>
    </row>
    <row r="778" ht="14.25" customHeight="1">
      <c r="A778" s="2" t="s">
        <v>140</v>
      </c>
      <c r="B778" s="2" t="s">
        <v>53</v>
      </c>
      <c r="C778" s="2" t="s">
        <v>10</v>
      </c>
      <c r="D778" s="2">
        <v>0.0</v>
      </c>
      <c r="E778" s="2">
        <v>0.0</v>
      </c>
      <c r="F778" s="2">
        <v>0.0</v>
      </c>
      <c r="G778" s="2">
        <v>0.0</v>
      </c>
      <c r="H778" s="2">
        <v>0.0</v>
      </c>
    </row>
    <row r="779" ht="14.25" customHeight="1">
      <c r="A779" s="2" t="s">
        <v>140</v>
      </c>
      <c r="B779" s="2" t="s">
        <v>18</v>
      </c>
      <c r="C779" s="2" t="s">
        <v>10</v>
      </c>
      <c r="D779" s="2">
        <v>0.0</v>
      </c>
      <c r="E779" s="2">
        <v>0.0</v>
      </c>
      <c r="F779" s="2">
        <v>0.0</v>
      </c>
      <c r="G779" s="2">
        <v>0.0</v>
      </c>
      <c r="H779" s="2">
        <v>0.0</v>
      </c>
    </row>
    <row r="780" ht="14.25" customHeight="1">
      <c r="A780" s="2" t="s">
        <v>141</v>
      </c>
      <c r="B780" s="2" t="s">
        <v>141</v>
      </c>
      <c r="C780" s="2" t="s">
        <v>142</v>
      </c>
      <c r="D780" s="2">
        <v>0.0</v>
      </c>
      <c r="E780" s="2">
        <v>0.0</v>
      </c>
      <c r="F780" s="2">
        <v>0.0</v>
      </c>
      <c r="G780" s="2">
        <v>0.0</v>
      </c>
      <c r="H780" s="2">
        <v>0.0</v>
      </c>
    </row>
    <row r="781" ht="14.25" customHeight="1">
      <c r="A781" s="2" t="s">
        <v>141</v>
      </c>
      <c r="B781" s="2" t="s">
        <v>141</v>
      </c>
      <c r="C781" s="2" t="s">
        <v>143</v>
      </c>
      <c r="D781" s="2">
        <v>0.0</v>
      </c>
      <c r="E781" s="2">
        <v>0.0</v>
      </c>
      <c r="F781" s="2">
        <v>0.0</v>
      </c>
      <c r="G781" s="2">
        <v>0.0</v>
      </c>
      <c r="H781" s="2">
        <v>0.0</v>
      </c>
    </row>
    <row r="782" ht="14.25" customHeight="1">
      <c r="A782" s="2" t="s">
        <v>141</v>
      </c>
      <c r="B782" s="2" t="s">
        <v>141</v>
      </c>
      <c r="C782" s="2" t="s">
        <v>10</v>
      </c>
      <c r="D782" s="2">
        <v>0.0</v>
      </c>
      <c r="E782" s="2">
        <v>0.0</v>
      </c>
      <c r="F782" s="2">
        <v>0.0</v>
      </c>
      <c r="G782" s="2">
        <v>0.0</v>
      </c>
      <c r="H782" s="2">
        <v>0.0</v>
      </c>
    </row>
    <row r="783" ht="14.25" customHeight="1">
      <c r="A783" s="2" t="s">
        <v>141</v>
      </c>
      <c r="B783" s="2" t="s">
        <v>18</v>
      </c>
      <c r="C783" s="2" t="s">
        <v>10</v>
      </c>
      <c r="D783" s="2">
        <v>0.0</v>
      </c>
      <c r="E783" s="2">
        <v>0.0</v>
      </c>
      <c r="F783" s="2">
        <v>0.0</v>
      </c>
      <c r="G783" s="2">
        <v>0.0</v>
      </c>
      <c r="H783" s="2">
        <v>0.0</v>
      </c>
    </row>
    <row r="784" ht="14.25" customHeight="1">
      <c r="A784" s="2" t="s">
        <v>144</v>
      </c>
      <c r="B784" s="2" t="s">
        <v>145</v>
      </c>
      <c r="C784" s="2" t="s">
        <v>146</v>
      </c>
      <c r="D784" s="2">
        <v>0.0</v>
      </c>
      <c r="E784" s="2">
        <v>0.0</v>
      </c>
      <c r="F784" s="2">
        <v>0.0</v>
      </c>
      <c r="G784" s="2">
        <v>0.0</v>
      </c>
      <c r="H784" s="2">
        <v>0.0</v>
      </c>
    </row>
    <row r="785" ht="14.25" customHeight="1">
      <c r="A785" s="2" t="s">
        <v>144</v>
      </c>
      <c r="B785" s="2" t="s">
        <v>145</v>
      </c>
      <c r="C785" s="2" t="s">
        <v>147</v>
      </c>
      <c r="D785" s="2">
        <v>0.0</v>
      </c>
      <c r="E785" s="2">
        <v>0.0</v>
      </c>
      <c r="F785" s="2">
        <v>0.0</v>
      </c>
      <c r="G785" s="2">
        <v>0.0</v>
      </c>
      <c r="H785" s="2">
        <v>0.0</v>
      </c>
    </row>
    <row r="786" ht="14.25" customHeight="1">
      <c r="A786" s="2" t="s">
        <v>144</v>
      </c>
      <c r="B786" s="2" t="s">
        <v>145</v>
      </c>
      <c r="C786" s="2" t="s">
        <v>16</v>
      </c>
      <c r="D786" s="2">
        <v>10.48</v>
      </c>
      <c r="E786" s="2">
        <v>0.0</v>
      </c>
      <c r="F786" s="2">
        <v>4.88</v>
      </c>
      <c r="G786" s="2">
        <v>0.0</v>
      </c>
      <c r="H786" s="2">
        <v>0.01</v>
      </c>
    </row>
    <row r="787" ht="14.25" customHeight="1">
      <c r="A787" s="2" t="s">
        <v>144</v>
      </c>
      <c r="B787" s="2" t="s">
        <v>145</v>
      </c>
      <c r="C787" s="2" t="s">
        <v>17</v>
      </c>
      <c r="D787" s="2">
        <v>0.0</v>
      </c>
      <c r="E787" s="2">
        <v>0.0</v>
      </c>
      <c r="F787" s="2">
        <v>0.0</v>
      </c>
      <c r="G787" s="2">
        <v>0.0</v>
      </c>
      <c r="H787" s="2">
        <v>0.0</v>
      </c>
    </row>
    <row r="788" ht="14.25" customHeight="1">
      <c r="A788" s="2" t="s">
        <v>144</v>
      </c>
      <c r="B788" s="2" t="s">
        <v>145</v>
      </c>
      <c r="C788" s="2" t="s">
        <v>10</v>
      </c>
      <c r="D788" s="2">
        <v>10.48</v>
      </c>
      <c r="E788" s="2">
        <v>0.0</v>
      </c>
      <c r="F788" s="2">
        <v>4.88</v>
      </c>
      <c r="G788" s="2">
        <v>0.0</v>
      </c>
      <c r="H788" s="2">
        <v>0.01</v>
      </c>
    </row>
    <row r="789" ht="14.25" customHeight="1">
      <c r="A789" s="2" t="s">
        <v>144</v>
      </c>
      <c r="B789" s="2" t="s">
        <v>148</v>
      </c>
      <c r="C789" s="2" t="s">
        <v>10</v>
      </c>
      <c r="D789" s="2">
        <v>0.0</v>
      </c>
      <c r="E789" s="2">
        <v>0.0</v>
      </c>
      <c r="F789" s="2">
        <v>0.0</v>
      </c>
      <c r="G789" s="2">
        <v>0.0</v>
      </c>
      <c r="H789" s="2">
        <v>0.0</v>
      </c>
    </row>
    <row r="790" ht="14.25" customHeight="1">
      <c r="A790" s="2" t="s">
        <v>144</v>
      </c>
      <c r="B790" s="2" t="s">
        <v>18</v>
      </c>
      <c r="C790" s="2" t="s">
        <v>10</v>
      </c>
      <c r="D790" s="2">
        <v>0.0</v>
      </c>
      <c r="E790" s="2">
        <v>0.0</v>
      </c>
      <c r="F790" s="2">
        <v>0.0</v>
      </c>
      <c r="G790" s="2">
        <v>0.0</v>
      </c>
      <c r="H790" s="2">
        <v>0.0</v>
      </c>
    </row>
    <row r="791" ht="14.25" customHeight="1">
      <c r="A791" s="2" t="s">
        <v>149</v>
      </c>
      <c r="B791" s="2" t="s">
        <v>145</v>
      </c>
      <c r="C791" s="2" t="s">
        <v>146</v>
      </c>
      <c r="D791" s="2">
        <v>18.11</v>
      </c>
      <c r="E791" s="2">
        <v>0.01</v>
      </c>
      <c r="F791" s="2">
        <v>13.59</v>
      </c>
      <c r="G791" s="2">
        <v>0.03</v>
      </c>
      <c r="H791" s="2">
        <v>0.0</v>
      </c>
    </row>
    <row r="792" ht="14.25" customHeight="1">
      <c r="A792" s="2" t="s">
        <v>149</v>
      </c>
      <c r="B792" s="2" t="s">
        <v>145</v>
      </c>
      <c r="C792" s="2" t="s">
        <v>146</v>
      </c>
      <c r="D792" s="2">
        <v>4.76</v>
      </c>
      <c r="E792" s="2">
        <v>0.0</v>
      </c>
      <c r="F792" s="2">
        <v>3.57</v>
      </c>
      <c r="G792" s="2">
        <v>0.01</v>
      </c>
      <c r="H792" s="2">
        <v>0.0</v>
      </c>
    </row>
    <row r="793" ht="14.25" customHeight="1">
      <c r="A793" s="2" t="s">
        <v>149</v>
      </c>
      <c r="B793" s="2" t="s">
        <v>145</v>
      </c>
      <c r="C793" s="2" t="s">
        <v>146</v>
      </c>
      <c r="D793" s="2">
        <v>23.21</v>
      </c>
      <c r="E793" s="2">
        <v>0.01</v>
      </c>
      <c r="F793" s="2">
        <v>17.42</v>
      </c>
      <c r="G793" s="2">
        <v>0.04</v>
      </c>
      <c r="H793" s="2">
        <v>0.0</v>
      </c>
    </row>
    <row r="794" ht="14.25" customHeight="1">
      <c r="A794" s="2" t="s">
        <v>149</v>
      </c>
      <c r="B794" s="2" t="s">
        <v>145</v>
      </c>
      <c r="C794" s="2" t="s">
        <v>146</v>
      </c>
      <c r="D794" s="2">
        <v>5.27</v>
      </c>
      <c r="E794" s="2">
        <v>0.0</v>
      </c>
      <c r="F794" s="2">
        <v>4.11</v>
      </c>
      <c r="G794" s="2">
        <v>0.01</v>
      </c>
      <c r="H794" s="2">
        <v>0.0</v>
      </c>
    </row>
    <row r="795" ht="14.25" customHeight="1">
      <c r="A795" s="2" t="s">
        <v>149</v>
      </c>
      <c r="B795" s="2" t="s">
        <v>145</v>
      </c>
      <c r="C795" s="2" t="s">
        <v>146</v>
      </c>
      <c r="D795" s="2">
        <v>4.64</v>
      </c>
      <c r="E795" s="2">
        <v>0.0</v>
      </c>
      <c r="F795" s="2">
        <v>3.48</v>
      </c>
      <c r="G795" s="2">
        <v>0.01</v>
      </c>
      <c r="H795" s="2">
        <v>0.0</v>
      </c>
    </row>
    <row r="796" ht="14.25" customHeight="1">
      <c r="A796" s="2" t="s">
        <v>149</v>
      </c>
      <c r="B796" s="2" t="s">
        <v>145</v>
      </c>
      <c r="C796" s="2" t="s">
        <v>146</v>
      </c>
      <c r="D796" s="2">
        <v>1.05</v>
      </c>
      <c r="E796" s="2">
        <v>0.0</v>
      </c>
      <c r="F796" s="2">
        <v>0.82</v>
      </c>
      <c r="G796" s="2">
        <v>0.0</v>
      </c>
      <c r="H796" s="2">
        <v>0.0</v>
      </c>
    </row>
    <row r="797" ht="14.25" customHeight="1">
      <c r="A797" s="2" t="s">
        <v>149</v>
      </c>
      <c r="B797" s="2" t="s">
        <v>145</v>
      </c>
      <c r="C797" s="2" t="s">
        <v>146</v>
      </c>
      <c r="D797" s="2">
        <v>5.8</v>
      </c>
      <c r="E797" s="2">
        <v>0.0</v>
      </c>
      <c r="F797" s="2">
        <v>4.35</v>
      </c>
      <c r="G797" s="2">
        <v>0.01</v>
      </c>
      <c r="H797" s="2">
        <v>0.0</v>
      </c>
    </row>
    <row r="798" ht="14.25" customHeight="1">
      <c r="A798" s="2" t="s">
        <v>149</v>
      </c>
      <c r="B798" s="2" t="s">
        <v>145</v>
      </c>
      <c r="C798" s="2" t="s">
        <v>147</v>
      </c>
      <c r="D798" s="2">
        <v>0.0</v>
      </c>
      <c r="E798" s="2">
        <v>0.0</v>
      </c>
      <c r="F798" s="2">
        <v>0.0</v>
      </c>
      <c r="G798" s="2">
        <v>0.0</v>
      </c>
      <c r="H798" s="2">
        <v>0.0</v>
      </c>
    </row>
    <row r="799" ht="14.25" customHeight="1">
      <c r="A799" s="2" t="s">
        <v>149</v>
      </c>
      <c r="B799" s="2" t="s">
        <v>145</v>
      </c>
      <c r="C799" s="2" t="s">
        <v>16</v>
      </c>
      <c r="D799" s="2">
        <v>10.31</v>
      </c>
      <c r="E799" s="2">
        <v>0.01</v>
      </c>
      <c r="F799" s="2">
        <v>8.04</v>
      </c>
      <c r="G799" s="2">
        <v>0.02</v>
      </c>
      <c r="H799" s="2">
        <v>0.0</v>
      </c>
    </row>
    <row r="800" ht="14.25" customHeight="1">
      <c r="A800" s="2" t="s">
        <v>149</v>
      </c>
      <c r="B800" s="2" t="s">
        <v>145</v>
      </c>
      <c r="C800" s="2" t="s">
        <v>17</v>
      </c>
      <c r="D800" s="2">
        <v>0.0</v>
      </c>
      <c r="E800" s="2">
        <v>0.0</v>
      </c>
      <c r="F800" s="2">
        <v>0.0</v>
      </c>
      <c r="G800" s="2">
        <v>0.0</v>
      </c>
      <c r="H800" s="2">
        <v>0.0</v>
      </c>
    </row>
    <row r="801" ht="14.25" customHeight="1">
      <c r="A801" s="2" t="s">
        <v>149</v>
      </c>
      <c r="B801" s="2" t="s">
        <v>145</v>
      </c>
      <c r="C801" s="2" t="s">
        <v>10</v>
      </c>
      <c r="D801" s="2">
        <v>73.15</v>
      </c>
      <c r="E801" s="2">
        <v>0.03</v>
      </c>
      <c r="F801" s="2">
        <v>55.38</v>
      </c>
      <c r="G801" s="2">
        <v>0.13</v>
      </c>
      <c r="H801" s="2">
        <v>0.0</v>
      </c>
    </row>
    <row r="802" ht="14.25" customHeight="1">
      <c r="A802" s="2" t="s">
        <v>149</v>
      </c>
      <c r="B802" s="2" t="s">
        <v>148</v>
      </c>
      <c r="C802" s="2" t="s">
        <v>10</v>
      </c>
      <c r="D802" s="2">
        <v>0.0</v>
      </c>
      <c r="E802" s="2">
        <v>0.0</v>
      </c>
      <c r="F802" s="2">
        <v>0.0</v>
      </c>
      <c r="G802" s="2">
        <v>0.0</v>
      </c>
      <c r="H802" s="2">
        <v>0.0</v>
      </c>
    </row>
    <row r="803" ht="14.25" customHeight="1">
      <c r="A803" s="2" t="s">
        <v>149</v>
      </c>
      <c r="B803" s="2" t="s">
        <v>18</v>
      </c>
      <c r="C803" s="2" t="s">
        <v>10</v>
      </c>
      <c r="D803" s="2">
        <v>0.0</v>
      </c>
      <c r="E803" s="2">
        <v>0.0</v>
      </c>
      <c r="F803" s="2">
        <v>0.0</v>
      </c>
      <c r="G803" s="2">
        <v>0.0</v>
      </c>
      <c r="H803" s="2">
        <v>0.0</v>
      </c>
    </row>
    <row r="804" ht="14.25" customHeight="1">
      <c r="A804" s="2" t="s">
        <v>150</v>
      </c>
      <c r="B804" s="2" t="s">
        <v>23</v>
      </c>
      <c r="C804" s="2" t="s">
        <v>24</v>
      </c>
      <c r="D804" s="2">
        <v>45.24</v>
      </c>
      <c r="E804" s="2">
        <v>0.0</v>
      </c>
      <c r="F804" s="2">
        <v>23.4</v>
      </c>
      <c r="G804" s="2">
        <v>0.02</v>
      </c>
      <c r="H804" s="2">
        <v>0.04</v>
      </c>
    </row>
    <row r="805" ht="14.25" customHeight="1">
      <c r="A805" s="2" t="s">
        <v>150</v>
      </c>
      <c r="B805" s="2" t="s">
        <v>23</v>
      </c>
      <c r="C805" s="2" t="s">
        <v>25</v>
      </c>
      <c r="D805" s="2">
        <v>31.12</v>
      </c>
      <c r="E805" s="2">
        <v>0.0</v>
      </c>
      <c r="F805" s="2">
        <v>9.5</v>
      </c>
      <c r="G805" s="2">
        <v>0.04</v>
      </c>
      <c r="H805" s="2">
        <v>0.02</v>
      </c>
    </row>
    <row r="806" ht="14.25" customHeight="1">
      <c r="A806" s="2" t="s">
        <v>150</v>
      </c>
      <c r="B806" s="2" t="s">
        <v>23</v>
      </c>
      <c r="C806" s="2" t="s">
        <v>25</v>
      </c>
      <c r="D806" s="2">
        <v>10.92</v>
      </c>
      <c r="E806" s="2">
        <v>0.0</v>
      </c>
      <c r="F806" s="2">
        <v>3.2</v>
      </c>
      <c r="G806" s="2">
        <v>0.02</v>
      </c>
      <c r="H806" s="2">
        <v>0.0</v>
      </c>
    </row>
    <row r="807" ht="14.25" customHeight="1">
      <c r="A807" s="2" t="s">
        <v>150</v>
      </c>
      <c r="B807" s="2" t="s">
        <v>23</v>
      </c>
      <c r="C807" s="2" t="s">
        <v>31</v>
      </c>
      <c r="D807" s="2">
        <v>6.26</v>
      </c>
      <c r="E807" s="2">
        <v>0.0</v>
      </c>
      <c r="F807" s="2">
        <v>1.66</v>
      </c>
      <c r="G807" s="2">
        <v>0.0</v>
      </c>
      <c r="H807" s="2">
        <v>0.0</v>
      </c>
    </row>
    <row r="808" ht="14.25" customHeight="1">
      <c r="A808" s="2" t="s">
        <v>150</v>
      </c>
      <c r="B808" s="2" t="s">
        <v>23</v>
      </c>
      <c r="C808" s="2" t="s">
        <v>31</v>
      </c>
      <c r="D808" s="2">
        <v>4.7</v>
      </c>
      <c r="E808" s="2">
        <v>0.0</v>
      </c>
      <c r="F808" s="2">
        <v>1.26</v>
      </c>
      <c r="G808" s="2">
        <v>0.0</v>
      </c>
      <c r="H808" s="2">
        <v>0.0</v>
      </c>
    </row>
    <row r="809" ht="14.25" customHeight="1">
      <c r="A809" s="2" t="s">
        <v>150</v>
      </c>
      <c r="B809" s="2" t="s">
        <v>23</v>
      </c>
      <c r="C809" s="2" t="s">
        <v>32</v>
      </c>
      <c r="D809" s="2">
        <v>0.58</v>
      </c>
      <c r="E809" s="2">
        <v>0.0</v>
      </c>
      <c r="F809" s="2">
        <v>0.46</v>
      </c>
      <c r="G809" s="2">
        <v>0.0</v>
      </c>
      <c r="H809" s="2">
        <v>0.0</v>
      </c>
    </row>
    <row r="810" ht="14.25" customHeight="1">
      <c r="A810" s="2" t="s">
        <v>150</v>
      </c>
      <c r="B810" s="2" t="s">
        <v>23</v>
      </c>
      <c r="C810" s="2" t="s">
        <v>26</v>
      </c>
      <c r="D810" s="2">
        <v>2.82</v>
      </c>
      <c r="E810" s="2">
        <v>0.0</v>
      </c>
      <c r="F810" s="2">
        <v>1.84</v>
      </c>
      <c r="G810" s="2">
        <v>0.0</v>
      </c>
      <c r="H810" s="2">
        <v>0.0</v>
      </c>
    </row>
    <row r="811" ht="14.25" customHeight="1">
      <c r="A811" s="2" t="s">
        <v>150</v>
      </c>
      <c r="B811" s="2" t="s">
        <v>23</v>
      </c>
      <c r="C811" s="2" t="s">
        <v>26</v>
      </c>
      <c r="D811" s="2">
        <v>1.04</v>
      </c>
      <c r="E811" s="2">
        <v>0.0</v>
      </c>
      <c r="F811" s="2">
        <v>0.68</v>
      </c>
      <c r="G811" s="2">
        <v>0.0</v>
      </c>
      <c r="H811" s="2">
        <v>0.0</v>
      </c>
    </row>
    <row r="812" ht="14.25" customHeight="1">
      <c r="A812" s="2" t="s">
        <v>150</v>
      </c>
      <c r="B812" s="2" t="s">
        <v>23</v>
      </c>
      <c r="C812" s="2" t="s">
        <v>46</v>
      </c>
      <c r="D812" s="2">
        <v>0.0</v>
      </c>
      <c r="E812" s="2">
        <v>0.0</v>
      </c>
      <c r="F812" s="2">
        <v>0.0</v>
      </c>
      <c r="G812" s="2">
        <v>0.0</v>
      </c>
      <c r="H812" s="2">
        <v>0.0</v>
      </c>
    </row>
    <row r="813" ht="14.25" customHeight="1">
      <c r="A813" s="2" t="s">
        <v>150</v>
      </c>
      <c r="B813" s="2" t="s">
        <v>23</v>
      </c>
      <c r="C813" s="2" t="s">
        <v>33</v>
      </c>
      <c r="D813" s="2">
        <v>0.0</v>
      </c>
      <c r="E813" s="2">
        <v>0.0</v>
      </c>
      <c r="F813" s="2">
        <v>0.0</v>
      </c>
      <c r="G813" s="2">
        <v>0.0</v>
      </c>
      <c r="H813" s="2">
        <v>0.0</v>
      </c>
    </row>
    <row r="814" ht="14.25" customHeight="1">
      <c r="A814" s="2" t="s">
        <v>150</v>
      </c>
      <c r="B814" s="2" t="s">
        <v>23</v>
      </c>
      <c r="C814" s="2" t="s">
        <v>33</v>
      </c>
      <c r="D814" s="2">
        <v>0.0</v>
      </c>
      <c r="E814" s="2">
        <v>0.0</v>
      </c>
      <c r="F814" s="2">
        <v>0.0</v>
      </c>
      <c r="G814" s="2">
        <v>0.0</v>
      </c>
      <c r="H814" s="2">
        <v>0.0</v>
      </c>
    </row>
    <row r="815" ht="14.25" customHeight="1">
      <c r="A815" s="2" t="s">
        <v>150</v>
      </c>
      <c r="B815" s="2" t="s">
        <v>23</v>
      </c>
      <c r="C815" s="2" t="s">
        <v>33</v>
      </c>
      <c r="D815" s="2">
        <v>0.0</v>
      </c>
      <c r="E815" s="2">
        <v>0.0</v>
      </c>
      <c r="F815" s="2">
        <v>0.0</v>
      </c>
      <c r="G815" s="2">
        <v>0.0</v>
      </c>
      <c r="H815" s="2">
        <v>0.0</v>
      </c>
    </row>
    <row r="816" ht="14.25" customHeight="1">
      <c r="A816" s="2" t="s">
        <v>150</v>
      </c>
      <c r="B816" s="2" t="s">
        <v>23</v>
      </c>
      <c r="C816" s="2" t="s">
        <v>33</v>
      </c>
      <c r="D816" s="2">
        <v>0.0</v>
      </c>
      <c r="E816" s="2">
        <v>0.0</v>
      </c>
      <c r="F816" s="2">
        <v>0.0</v>
      </c>
      <c r="G816" s="2">
        <v>0.0</v>
      </c>
      <c r="H816" s="2">
        <v>0.0</v>
      </c>
    </row>
    <row r="817" ht="14.25" customHeight="1">
      <c r="A817" s="2" t="s">
        <v>150</v>
      </c>
      <c r="B817" s="2" t="s">
        <v>23</v>
      </c>
      <c r="C817" s="2" t="s">
        <v>33</v>
      </c>
      <c r="D817" s="2">
        <v>0.0</v>
      </c>
      <c r="E817" s="2">
        <v>0.0</v>
      </c>
      <c r="F817" s="2">
        <v>0.0</v>
      </c>
      <c r="G817" s="2">
        <v>0.0</v>
      </c>
      <c r="H817" s="2">
        <v>0.0</v>
      </c>
    </row>
    <row r="818" ht="14.25" customHeight="1">
      <c r="A818" s="2" t="s">
        <v>150</v>
      </c>
      <c r="B818" s="2" t="s">
        <v>23</v>
      </c>
      <c r="C818" s="2" t="s">
        <v>33</v>
      </c>
      <c r="D818" s="2">
        <v>0.0</v>
      </c>
      <c r="E818" s="2">
        <v>0.0</v>
      </c>
      <c r="F818" s="2">
        <v>0.0</v>
      </c>
      <c r="G818" s="2">
        <v>0.0</v>
      </c>
      <c r="H818" s="2">
        <v>0.0</v>
      </c>
    </row>
    <row r="819" ht="14.25" customHeight="1">
      <c r="A819" s="2" t="s">
        <v>150</v>
      </c>
      <c r="B819" s="2" t="s">
        <v>23</v>
      </c>
      <c r="C819" s="2" t="s">
        <v>33</v>
      </c>
      <c r="D819" s="2">
        <v>0.0</v>
      </c>
      <c r="E819" s="2">
        <v>0.0</v>
      </c>
      <c r="F819" s="2">
        <v>0.0</v>
      </c>
      <c r="G819" s="2">
        <v>0.0</v>
      </c>
      <c r="H819" s="2">
        <v>0.0</v>
      </c>
    </row>
    <row r="820" ht="14.25" customHeight="1">
      <c r="A820" s="2" t="s">
        <v>150</v>
      </c>
      <c r="B820" s="2" t="s">
        <v>23</v>
      </c>
      <c r="C820" s="2" t="s">
        <v>33</v>
      </c>
      <c r="D820" s="2">
        <v>0.0</v>
      </c>
      <c r="E820" s="2">
        <v>0.0</v>
      </c>
      <c r="F820" s="2">
        <v>0.0</v>
      </c>
      <c r="G820" s="2">
        <v>0.0</v>
      </c>
      <c r="H820" s="2">
        <v>0.0</v>
      </c>
    </row>
    <row r="821" ht="14.25" customHeight="1">
      <c r="A821" s="2" t="s">
        <v>150</v>
      </c>
      <c r="B821" s="2" t="s">
        <v>23</v>
      </c>
      <c r="C821" s="2" t="s">
        <v>27</v>
      </c>
      <c r="D821" s="2">
        <v>32.8</v>
      </c>
      <c r="E821" s="2">
        <v>0.02</v>
      </c>
      <c r="F821" s="2">
        <v>25.58</v>
      </c>
      <c r="G821" s="2">
        <v>0.06</v>
      </c>
      <c r="H821" s="2">
        <v>0.0</v>
      </c>
    </row>
    <row r="822" ht="14.25" customHeight="1">
      <c r="A822" s="2" t="s">
        <v>150</v>
      </c>
      <c r="B822" s="2" t="s">
        <v>23</v>
      </c>
      <c r="C822" s="2" t="s">
        <v>28</v>
      </c>
      <c r="D822" s="2">
        <v>0.0</v>
      </c>
      <c r="E822" s="2">
        <v>0.0</v>
      </c>
      <c r="F822" s="2">
        <v>0.0</v>
      </c>
      <c r="G822" s="2">
        <v>0.0</v>
      </c>
      <c r="H822" s="2">
        <v>0.0</v>
      </c>
    </row>
    <row r="823" ht="14.25" customHeight="1">
      <c r="A823" s="2" t="s">
        <v>150</v>
      </c>
      <c r="B823" s="2" t="s">
        <v>23</v>
      </c>
      <c r="C823" s="2" t="s">
        <v>10</v>
      </c>
      <c r="D823" s="2">
        <v>135.48</v>
      </c>
      <c r="E823" s="2">
        <v>0.02</v>
      </c>
      <c r="F823" s="2">
        <v>67.58</v>
      </c>
      <c r="G823" s="2">
        <v>0.14</v>
      </c>
      <c r="H823" s="2">
        <v>0.06</v>
      </c>
    </row>
    <row r="824" ht="14.25" customHeight="1">
      <c r="A824" s="2" t="s">
        <v>150</v>
      </c>
      <c r="B824" s="2" t="s">
        <v>29</v>
      </c>
      <c r="C824" s="2" t="s">
        <v>10</v>
      </c>
      <c r="D824" s="2">
        <v>0.0</v>
      </c>
      <c r="E824" s="2">
        <v>0.0</v>
      </c>
      <c r="F824" s="2">
        <v>0.0</v>
      </c>
      <c r="G824" s="2">
        <v>0.0</v>
      </c>
      <c r="H824" s="2">
        <v>0.0</v>
      </c>
    </row>
    <row r="825" ht="14.25" customHeight="1">
      <c r="A825" s="2" t="s">
        <v>150</v>
      </c>
      <c r="B825" s="2" t="s">
        <v>18</v>
      </c>
      <c r="C825" s="2" t="s">
        <v>10</v>
      </c>
      <c r="D825" s="2">
        <v>0.0</v>
      </c>
      <c r="E825" s="2">
        <v>0.0</v>
      </c>
      <c r="F825" s="2">
        <v>0.0</v>
      </c>
      <c r="G825" s="2">
        <v>0.0</v>
      </c>
      <c r="H825" s="2">
        <v>0.0</v>
      </c>
    </row>
    <row r="826" ht="14.25" customHeight="1">
      <c r="A826" s="2" t="s">
        <v>151</v>
      </c>
      <c r="B826" s="2" t="s">
        <v>23</v>
      </c>
      <c r="C826" s="2" t="s">
        <v>24</v>
      </c>
      <c r="D826" s="2">
        <v>21.4</v>
      </c>
      <c r="E826" s="2">
        <v>0.0</v>
      </c>
      <c r="F826" s="2">
        <v>4.34</v>
      </c>
      <c r="G826" s="2">
        <v>0.03</v>
      </c>
      <c r="H826" s="2">
        <v>0.0</v>
      </c>
    </row>
    <row r="827" ht="14.25" customHeight="1">
      <c r="A827" s="2" t="s">
        <v>151</v>
      </c>
      <c r="B827" s="2" t="s">
        <v>23</v>
      </c>
      <c r="C827" s="2" t="s">
        <v>24</v>
      </c>
      <c r="D827" s="2">
        <v>9.51</v>
      </c>
      <c r="E827" s="2">
        <v>0.0</v>
      </c>
      <c r="F827" s="2">
        <v>1.93</v>
      </c>
      <c r="G827" s="2">
        <v>0.01</v>
      </c>
      <c r="H827" s="2">
        <v>0.0</v>
      </c>
    </row>
    <row r="828" ht="14.25" customHeight="1">
      <c r="A828" s="2" t="s">
        <v>151</v>
      </c>
      <c r="B828" s="2" t="s">
        <v>23</v>
      </c>
      <c r="C828" s="2" t="s">
        <v>25</v>
      </c>
      <c r="D828" s="2">
        <v>9.51</v>
      </c>
      <c r="E828" s="2">
        <v>0.0</v>
      </c>
      <c r="F828" s="2">
        <v>1.93</v>
      </c>
      <c r="G828" s="2">
        <v>0.01</v>
      </c>
      <c r="H828" s="2">
        <v>0.0</v>
      </c>
    </row>
    <row r="829" ht="14.25" customHeight="1">
      <c r="A829" s="2" t="s">
        <v>151</v>
      </c>
      <c r="B829" s="2" t="s">
        <v>23</v>
      </c>
      <c r="C829" s="2" t="s">
        <v>25</v>
      </c>
      <c r="D829" s="2">
        <v>0.0</v>
      </c>
      <c r="E829" s="2">
        <v>0.0</v>
      </c>
      <c r="F829" s="2">
        <v>0.0</v>
      </c>
      <c r="G829" s="2">
        <v>0.0</v>
      </c>
      <c r="H829" s="2">
        <v>0.0</v>
      </c>
    </row>
    <row r="830" ht="14.25" customHeight="1">
      <c r="A830" s="2" t="s">
        <v>151</v>
      </c>
      <c r="B830" s="2" t="s">
        <v>23</v>
      </c>
      <c r="C830" s="2" t="s">
        <v>25</v>
      </c>
      <c r="D830" s="2">
        <v>0.0</v>
      </c>
      <c r="E830" s="2">
        <v>0.0</v>
      </c>
      <c r="F830" s="2">
        <v>0.0</v>
      </c>
      <c r="G830" s="2">
        <v>0.0</v>
      </c>
      <c r="H830" s="2">
        <v>0.0</v>
      </c>
    </row>
    <row r="831" ht="14.25" customHeight="1">
      <c r="A831" s="2" t="s">
        <v>151</v>
      </c>
      <c r="B831" s="2" t="s">
        <v>23</v>
      </c>
      <c r="C831" s="2" t="s">
        <v>25</v>
      </c>
      <c r="D831" s="2">
        <v>0.0</v>
      </c>
      <c r="E831" s="2">
        <v>0.0</v>
      </c>
      <c r="F831" s="2">
        <v>0.0</v>
      </c>
      <c r="G831" s="2">
        <v>0.0</v>
      </c>
      <c r="H831" s="2">
        <v>0.0</v>
      </c>
    </row>
    <row r="832" ht="14.25" customHeight="1">
      <c r="A832" s="2" t="s">
        <v>151</v>
      </c>
      <c r="B832" s="2" t="s">
        <v>23</v>
      </c>
      <c r="C832" s="2" t="s">
        <v>31</v>
      </c>
      <c r="D832" s="2">
        <v>1.19</v>
      </c>
      <c r="E832" s="2">
        <v>0.0</v>
      </c>
      <c r="F832" s="2">
        <v>0.24</v>
      </c>
      <c r="G832" s="2">
        <v>0.0</v>
      </c>
      <c r="H832" s="2">
        <v>0.0</v>
      </c>
    </row>
    <row r="833" ht="14.25" customHeight="1">
      <c r="A833" s="2" t="s">
        <v>151</v>
      </c>
      <c r="B833" s="2" t="s">
        <v>23</v>
      </c>
      <c r="C833" s="2" t="s">
        <v>32</v>
      </c>
      <c r="D833" s="2">
        <v>88.46</v>
      </c>
      <c r="E833" s="2">
        <v>0.01</v>
      </c>
      <c r="F833" s="2">
        <v>17.95</v>
      </c>
      <c r="G833" s="2">
        <v>0.13</v>
      </c>
      <c r="H833" s="2">
        <v>0.0</v>
      </c>
    </row>
    <row r="834" ht="14.25" customHeight="1">
      <c r="A834" s="2" t="s">
        <v>151</v>
      </c>
      <c r="B834" s="2" t="s">
        <v>23</v>
      </c>
      <c r="C834" s="2" t="s">
        <v>32</v>
      </c>
      <c r="D834" s="2">
        <v>19.62</v>
      </c>
      <c r="E834" s="2">
        <v>0.0</v>
      </c>
      <c r="F834" s="2">
        <v>3.98</v>
      </c>
      <c r="G834" s="2">
        <v>0.03</v>
      </c>
      <c r="H834" s="2">
        <v>0.0</v>
      </c>
    </row>
    <row r="835" ht="14.25" customHeight="1">
      <c r="A835" s="2" t="s">
        <v>151</v>
      </c>
      <c r="B835" s="2" t="s">
        <v>23</v>
      </c>
      <c r="C835" s="2" t="s">
        <v>26</v>
      </c>
      <c r="D835" s="2">
        <v>0.0</v>
      </c>
      <c r="E835" s="2">
        <v>0.0</v>
      </c>
      <c r="F835" s="2">
        <v>0.0</v>
      </c>
      <c r="G835" s="2">
        <v>0.0</v>
      </c>
      <c r="H835" s="2">
        <v>0.0</v>
      </c>
    </row>
    <row r="836" ht="14.25" customHeight="1">
      <c r="A836" s="2" t="s">
        <v>151</v>
      </c>
      <c r="B836" s="2" t="s">
        <v>23</v>
      </c>
      <c r="C836" s="2" t="s">
        <v>33</v>
      </c>
      <c r="D836" s="2">
        <v>0.0</v>
      </c>
      <c r="E836" s="2">
        <v>0.0</v>
      </c>
      <c r="F836" s="2">
        <v>0.0</v>
      </c>
      <c r="G836" s="2">
        <v>0.0</v>
      </c>
      <c r="H836" s="2">
        <v>0.0</v>
      </c>
    </row>
    <row r="837" ht="14.25" customHeight="1">
      <c r="A837" s="2" t="s">
        <v>151</v>
      </c>
      <c r="B837" s="2" t="s">
        <v>23</v>
      </c>
      <c r="C837" s="2" t="s">
        <v>10</v>
      </c>
      <c r="D837" s="2">
        <v>149.69</v>
      </c>
      <c r="E837" s="2">
        <v>0.01</v>
      </c>
      <c r="F837" s="2">
        <v>30.37</v>
      </c>
      <c r="G837" s="2">
        <v>0.21</v>
      </c>
      <c r="H837" s="2">
        <v>0.0</v>
      </c>
    </row>
    <row r="838" ht="14.25" customHeight="1">
      <c r="A838" s="2" t="s">
        <v>151</v>
      </c>
      <c r="B838" s="2" t="s">
        <v>29</v>
      </c>
      <c r="C838" s="2" t="s">
        <v>10</v>
      </c>
      <c r="D838" s="2">
        <v>0.0</v>
      </c>
      <c r="E838" s="2">
        <v>0.0</v>
      </c>
      <c r="F838" s="2">
        <v>0.0</v>
      </c>
      <c r="G838" s="2">
        <v>0.0</v>
      </c>
      <c r="H838" s="2">
        <v>0.0</v>
      </c>
    </row>
    <row r="839" ht="14.25" customHeight="1">
      <c r="A839" s="2" t="s">
        <v>151</v>
      </c>
      <c r="B839" s="2" t="s">
        <v>18</v>
      </c>
      <c r="C839" s="2" t="s">
        <v>10</v>
      </c>
      <c r="D839" s="2">
        <v>0.0</v>
      </c>
      <c r="E839" s="2">
        <v>0.0</v>
      </c>
      <c r="F839" s="2">
        <v>0.0</v>
      </c>
      <c r="G839" s="2">
        <v>0.0</v>
      </c>
      <c r="H839" s="2">
        <v>0.0</v>
      </c>
    </row>
    <row r="840" ht="14.25" customHeight="1">
      <c r="A840" s="2" t="s">
        <v>152</v>
      </c>
      <c r="B840" s="2" t="s">
        <v>21</v>
      </c>
      <c r="C840" s="2" t="s">
        <v>10</v>
      </c>
      <c r="D840" s="2">
        <v>0.0</v>
      </c>
      <c r="E840" s="2">
        <v>0.0</v>
      </c>
      <c r="F840" s="2">
        <v>0.0</v>
      </c>
      <c r="G840" s="2">
        <v>0.0</v>
      </c>
      <c r="H840" s="2">
        <v>0.0</v>
      </c>
    </row>
    <row r="841" ht="14.25" customHeight="1">
      <c r="A841" s="2" t="s">
        <v>152</v>
      </c>
      <c r="B841" s="2" t="s">
        <v>22</v>
      </c>
      <c r="C841" s="2" t="s">
        <v>60</v>
      </c>
      <c r="D841" s="2">
        <v>0.0</v>
      </c>
      <c r="E841" s="2">
        <v>0.0</v>
      </c>
      <c r="F841" s="2">
        <v>0.0</v>
      </c>
      <c r="G841" s="2">
        <v>0.0</v>
      </c>
      <c r="H841" s="2">
        <v>0.0</v>
      </c>
    </row>
    <row r="842" ht="14.25" customHeight="1">
      <c r="A842" s="2" t="s">
        <v>152</v>
      </c>
      <c r="B842" s="2" t="s">
        <v>22</v>
      </c>
      <c r="C842" s="2" t="s">
        <v>61</v>
      </c>
      <c r="D842" s="2">
        <v>3.02</v>
      </c>
      <c r="E842" s="2">
        <v>0.0</v>
      </c>
      <c r="F842" s="2">
        <v>1.41</v>
      </c>
      <c r="G842" s="2">
        <v>0.0</v>
      </c>
      <c r="H842" s="2">
        <v>0.0</v>
      </c>
    </row>
    <row r="843" ht="14.25" customHeight="1">
      <c r="A843" s="2" t="s">
        <v>152</v>
      </c>
      <c r="B843" s="2" t="s">
        <v>22</v>
      </c>
      <c r="C843" s="2" t="s">
        <v>62</v>
      </c>
      <c r="D843" s="2">
        <v>2.23</v>
      </c>
      <c r="E843" s="2">
        <v>0.0</v>
      </c>
      <c r="F843" s="2">
        <v>1.74</v>
      </c>
      <c r="G843" s="2">
        <v>0.0</v>
      </c>
      <c r="H843" s="2">
        <v>0.0</v>
      </c>
    </row>
    <row r="844" ht="14.25" customHeight="1">
      <c r="A844" s="2" t="s">
        <v>152</v>
      </c>
      <c r="B844" s="2" t="s">
        <v>22</v>
      </c>
      <c r="C844" s="2" t="s">
        <v>92</v>
      </c>
      <c r="D844" s="2">
        <v>0.37</v>
      </c>
      <c r="E844" s="2">
        <v>0.0</v>
      </c>
      <c r="F844" s="2">
        <v>0.29</v>
      </c>
      <c r="G844" s="2">
        <v>0.0</v>
      </c>
      <c r="H844" s="2">
        <v>0.0</v>
      </c>
    </row>
    <row r="845" ht="14.25" customHeight="1">
      <c r="A845" s="2" t="s">
        <v>152</v>
      </c>
      <c r="B845" s="2" t="s">
        <v>22</v>
      </c>
      <c r="C845" s="2" t="s">
        <v>63</v>
      </c>
      <c r="D845" s="2">
        <v>4.79</v>
      </c>
      <c r="E845" s="2">
        <v>0.0</v>
      </c>
      <c r="F845" s="2">
        <v>2.23</v>
      </c>
      <c r="G845" s="2">
        <v>0.0</v>
      </c>
      <c r="H845" s="2">
        <v>0.01</v>
      </c>
    </row>
    <row r="846" ht="14.25" customHeight="1">
      <c r="A846" s="2" t="s">
        <v>152</v>
      </c>
      <c r="B846" s="2" t="s">
        <v>22</v>
      </c>
      <c r="C846" s="2" t="s">
        <v>153</v>
      </c>
      <c r="D846" s="2">
        <v>0.0</v>
      </c>
      <c r="E846" s="2">
        <v>0.0</v>
      </c>
      <c r="F846" s="2">
        <v>0.0</v>
      </c>
      <c r="G846" s="2">
        <v>0.0</v>
      </c>
      <c r="H846" s="2">
        <v>0.0</v>
      </c>
    </row>
    <row r="847" ht="14.25" customHeight="1">
      <c r="A847" s="2" t="s">
        <v>152</v>
      </c>
      <c r="B847" s="2" t="s">
        <v>22</v>
      </c>
      <c r="C847" s="2" t="s">
        <v>153</v>
      </c>
      <c r="D847" s="2">
        <v>0.0</v>
      </c>
      <c r="E847" s="2">
        <v>0.0</v>
      </c>
      <c r="F847" s="2">
        <v>0.0</v>
      </c>
      <c r="G847" s="2">
        <v>0.0</v>
      </c>
      <c r="H847" s="2">
        <v>0.0</v>
      </c>
    </row>
    <row r="848" ht="14.25" customHeight="1">
      <c r="A848" s="2" t="s">
        <v>152</v>
      </c>
      <c r="B848" s="2" t="s">
        <v>22</v>
      </c>
      <c r="C848" s="2" t="s">
        <v>65</v>
      </c>
      <c r="D848" s="2">
        <v>0.0</v>
      </c>
      <c r="E848" s="2">
        <v>0.0</v>
      </c>
      <c r="F848" s="2">
        <v>0.0</v>
      </c>
      <c r="G848" s="2">
        <v>0.0</v>
      </c>
      <c r="H848" s="2">
        <v>0.0</v>
      </c>
    </row>
    <row r="849" ht="14.25" customHeight="1">
      <c r="A849" s="2" t="s">
        <v>152</v>
      </c>
      <c r="B849" s="2" t="s">
        <v>22</v>
      </c>
      <c r="C849" s="2" t="s">
        <v>66</v>
      </c>
      <c r="D849" s="2">
        <v>9.53</v>
      </c>
      <c r="E849" s="2">
        <v>0.0</v>
      </c>
      <c r="F849" s="2">
        <v>4.44</v>
      </c>
      <c r="G849" s="2">
        <v>0.0</v>
      </c>
      <c r="H849" s="2">
        <v>0.01</v>
      </c>
    </row>
    <row r="850" ht="14.25" customHeight="1">
      <c r="A850" s="2" t="s">
        <v>152</v>
      </c>
      <c r="B850" s="2" t="s">
        <v>22</v>
      </c>
      <c r="C850" s="2" t="s">
        <v>67</v>
      </c>
      <c r="D850" s="2">
        <v>0.0</v>
      </c>
      <c r="E850" s="2">
        <v>0.0</v>
      </c>
      <c r="F850" s="2">
        <v>0.0</v>
      </c>
      <c r="G850" s="2">
        <v>0.0</v>
      </c>
      <c r="H850" s="2">
        <v>0.0</v>
      </c>
    </row>
    <row r="851" ht="14.25" customHeight="1">
      <c r="A851" s="2" t="s">
        <v>152</v>
      </c>
      <c r="B851" s="2" t="s">
        <v>22</v>
      </c>
      <c r="C851" s="2" t="s">
        <v>68</v>
      </c>
      <c r="D851" s="2">
        <v>0.0</v>
      </c>
      <c r="E851" s="2">
        <v>0.0</v>
      </c>
      <c r="F851" s="2">
        <v>0.0</v>
      </c>
      <c r="G851" s="2">
        <v>0.0</v>
      </c>
      <c r="H851" s="2">
        <v>0.0</v>
      </c>
    </row>
    <row r="852" ht="14.25" customHeight="1">
      <c r="A852" s="2" t="s">
        <v>152</v>
      </c>
      <c r="B852" s="2" t="s">
        <v>22</v>
      </c>
      <c r="C852" s="2" t="s">
        <v>10</v>
      </c>
      <c r="D852" s="2">
        <v>19.94</v>
      </c>
      <c r="E852" s="2">
        <v>0.0</v>
      </c>
      <c r="F852" s="2">
        <v>10.11</v>
      </c>
      <c r="G852" s="2">
        <v>0.0</v>
      </c>
      <c r="H852" s="2">
        <v>0.02</v>
      </c>
    </row>
    <row r="853" ht="14.25" customHeight="1">
      <c r="A853" s="2" t="s">
        <v>154</v>
      </c>
      <c r="B853" s="2" t="s">
        <v>38</v>
      </c>
      <c r="C853" s="2" t="s">
        <v>39</v>
      </c>
      <c r="D853" s="2">
        <v>9.43</v>
      </c>
      <c r="E853" s="2">
        <v>0.0</v>
      </c>
      <c r="F853" s="2">
        <v>4.39</v>
      </c>
      <c r="G853" s="2">
        <v>0.0</v>
      </c>
      <c r="H853" s="2">
        <v>0.01</v>
      </c>
    </row>
    <row r="854" ht="14.25" customHeight="1">
      <c r="A854" s="2" t="s">
        <v>154</v>
      </c>
      <c r="B854" s="2" t="s">
        <v>38</v>
      </c>
      <c r="C854" s="2" t="s">
        <v>39</v>
      </c>
      <c r="D854" s="2">
        <v>15.33</v>
      </c>
      <c r="E854" s="2">
        <v>0.0</v>
      </c>
      <c r="F854" s="2">
        <v>7.14</v>
      </c>
      <c r="G854" s="2">
        <v>0.01</v>
      </c>
      <c r="H854" s="2">
        <v>0.02</v>
      </c>
    </row>
    <row r="855" ht="14.25" customHeight="1">
      <c r="A855" s="2" t="s">
        <v>154</v>
      </c>
      <c r="B855" s="2" t="s">
        <v>38</v>
      </c>
      <c r="C855" s="2" t="s">
        <v>39</v>
      </c>
      <c r="D855" s="2">
        <v>4.72</v>
      </c>
      <c r="E855" s="2">
        <v>0.0</v>
      </c>
      <c r="F855" s="2">
        <v>2.2</v>
      </c>
      <c r="G855" s="2">
        <v>0.0</v>
      </c>
      <c r="H855" s="2">
        <v>0.01</v>
      </c>
    </row>
    <row r="856" ht="14.25" customHeight="1">
      <c r="A856" s="2" t="s">
        <v>154</v>
      </c>
      <c r="B856" s="2" t="s">
        <v>38</v>
      </c>
      <c r="C856" s="2" t="s">
        <v>16</v>
      </c>
      <c r="D856" s="2">
        <v>0.14</v>
      </c>
      <c r="E856" s="2">
        <v>0.0</v>
      </c>
      <c r="F856" s="2">
        <v>0.07</v>
      </c>
      <c r="G856" s="2">
        <v>0.0</v>
      </c>
      <c r="H856" s="2">
        <v>0.0</v>
      </c>
    </row>
    <row r="857" ht="14.25" customHeight="1">
      <c r="A857" s="2" t="s">
        <v>154</v>
      </c>
      <c r="B857" s="2" t="s">
        <v>38</v>
      </c>
      <c r="C857" s="2" t="s">
        <v>17</v>
      </c>
      <c r="D857" s="2">
        <v>0.0</v>
      </c>
      <c r="E857" s="2">
        <v>0.0</v>
      </c>
      <c r="F857" s="2">
        <v>0.0</v>
      </c>
      <c r="G857" s="2">
        <v>0.0</v>
      </c>
      <c r="H857" s="2">
        <v>0.0</v>
      </c>
    </row>
    <row r="858" ht="14.25" customHeight="1">
      <c r="A858" s="2" t="s">
        <v>154</v>
      </c>
      <c r="B858" s="2" t="s">
        <v>38</v>
      </c>
      <c r="C858" s="2" t="s">
        <v>10</v>
      </c>
      <c r="D858" s="2">
        <v>29.62</v>
      </c>
      <c r="E858" s="2">
        <v>0.0</v>
      </c>
      <c r="F858" s="2">
        <v>13.8</v>
      </c>
      <c r="G858" s="2">
        <v>0.01</v>
      </c>
      <c r="H858" s="2">
        <v>0.04</v>
      </c>
    </row>
    <row r="859" ht="14.25" customHeight="1">
      <c r="A859" s="2" t="s">
        <v>154</v>
      </c>
      <c r="B859" s="2" t="s">
        <v>18</v>
      </c>
      <c r="C859" s="2" t="s">
        <v>10</v>
      </c>
      <c r="D859" s="2">
        <v>0.0</v>
      </c>
      <c r="E859" s="2">
        <v>0.0</v>
      </c>
      <c r="F859" s="2">
        <v>0.0</v>
      </c>
      <c r="G859" s="2">
        <v>0.0</v>
      </c>
      <c r="H859" s="2">
        <v>0.0</v>
      </c>
    </row>
    <row r="860" ht="14.25" customHeight="1">
      <c r="A860" s="2" t="s">
        <v>155</v>
      </c>
      <c r="B860" s="2" t="s">
        <v>145</v>
      </c>
      <c r="C860" s="2" t="s">
        <v>10</v>
      </c>
      <c r="D860" s="2">
        <v>0.0</v>
      </c>
      <c r="E860" s="2">
        <v>0.0</v>
      </c>
      <c r="F860" s="2">
        <v>0.0</v>
      </c>
      <c r="G860" s="2">
        <v>0.0</v>
      </c>
      <c r="H860" s="2">
        <v>0.0</v>
      </c>
    </row>
    <row r="861" ht="14.25" customHeight="1">
      <c r="A861" s="2" t="s">
        <v>155</v>
      </c>
      <c r="B861" s="2" t="s">
        <v>148</v>
      </c>
      <c r="C861" s="2" t="s">
        <v>146</v>
      </c>
      <c r="D861" s="2">
        <v>17.11</v>
      </c>
      <c r="E861" s="2">
        <v>0.0</v>
      </c>
      <c r="F861" s="2">
        <v>7.97</v>
      </c>
      <c r="G861" s="2">
        <v>0.01</v>
      </c>
      <c r="H861" s="2">
        <v>0.02</v>
      </c>
    </row>
    <row r="862" ht="14.25" customHeight="1">
      <c r="A862" s="2" t="s">
        <v>155</v>
      </c>
      <c r="B862" s="2" t="s">
        <v>148</v>
      </c>
      <c r="C862" s="2" t="s">
        <v>146</v>
      </c>
      <c r="D862" s="2">
        <v>2.72</v>
      </c>
      <c r="E862" s="2">
        <v>0.0</v>
      </c>
      <c r="F862" s="2">
        <v>1.27</v>
      </c>
      <c r="G862" s="2">
        <v>0.0</v>
      </c>
      <c r="H862" s="2">
        <v>0.0</v>
      </c>
    </row>
    <row r="863" ht="14.25" customHeight="1">
      <c r="A863" s="2" t="s">
        <v>155</v>
      </c>
      <c r="B863" s="2" t="s">
        <v>148</v>
      </c>
      <c r="C863" s="2" t="s">
        <v>147</v>
      </c>
      <c r="D863" s="2">
        <v>0.0</v>
      </c>
      <c r="E863" s="2">
        <v>0.0</v>
      </c>
      <c r="F863" s="2">
        <v>0.0</v>
      </c>
      <c r="G863" s="2">
        <v>0.0</v>
      </c>
      <c r="H863" s="2">
        <v>0.0</v>
      </c>
    </row>
    <row r="864" ht="14.25" customHeight="1">
      <c r="A864" s="2" t="s">
        <v>155</v>
      </c>
      <c r="B864" s="2" t="s">
        <v>148</v>
      </c>
      <c r="C864" s="2" t="s">
        <v>16</v>
      </c>
      <c r="D864" s="2">
        <v>5.24</v>
      </c>
      <c r="E864" s="2">
        <v>0.0</v>
      </c>
      <c r="F864" s="2">
        <v>2.44</v>
      </c>
      <c r="G864" s="2">
        <v>0.0</v>
      </c>
      <c r="H864" s="2">
        <v>0.01</v>
      </c>
    </row>
    <row r="865" ht="14.25" customHeight="1">
      <c r="A865" s="2" t="s">
        <v>155</v>
      </c>
      <c r="B865" s="2" t="s">
        <v>148</v>
      </c>
      <c r="C865" s="2" t="s">
        <v>17</v>
      </c>
      <c r="D865" s="2">
        <v>0.0</v>
      </c>
      <c r="E865" s="2">
        <v>0.0</v>
      </c>
      <c r="F865" s="2">
        <v>0.0</v>
      </c>
      <c r="G865" s="2">
        <v>0.0</v>
      </c>
      <c r="H865" s="2">
        <v>0.0</v>
      </c>
    </row>
    <row r="866" ht="14.25" customHeight="1">
      <c r="A866" s="2" t="s">
        <v>155</v>
      </c>
      <c r="B866" s="2" t="s">
        <v>148</v>
      </c>
      <c r="C866" s="2" t="s">
        <v>10</v>
      </c>
      <c r="D866" s="2">
        <v>25.07</v>
      </c>
      <c r="E866" s="2">
        <v>0.0</v>
      </c>
      <c r="F866" s="2">
        <v>11.68</v>
      </c>
      <c r="G866" s="2">
        <v>0.01</v>
      </c>
      <c r="H866" s="2">
        <v>0.03</v>
      </c>
    </row>
    <row r="867" ht="14.25" customHeight="1">
      <c r="A867" s="2" t="s">
        <v>155</v>
      </c>
      <c r="B867" s="2" t="s">
        <v>18</v>
      </c>
      <c r="C867" s="2" t="s">
        <v>10</v>
      </c>
      <c r="D867" s="2">
        <v>0.0</v>
      </c>
      <c r="E867" s="2">
        <v>0.0</v>
      </c>
      <c r="F867" s="2">
        <v>0.0</v>
      </c>
      <c r="G867" s="2">
        <v>0.0</v>
      </c>
      <c r="H867" s="2">
        <v>0.0</v>
      </c>
    </row>
    <row r="868" ht="14.25" customHeight="1">
      <c r="A868" s="2" t="s">
        <v>156</v>
      </c>
      <c r="B868" s="2" t="s">
        <v>80</v>
      </c>
      <c r="C868" s="2" t="s">
        <v>81</v>
      </c>
      <c r="D868" s="2">
        <v>39.81</v>
      </c>
      <c r="E868" s="2">
        <v>0.0</v>
      </c>
      <c r="F868" s="2">
        <v>18.54</v>
      </c>
      <c r="G868" s="2">
        <v>0.02</v>
      </c>
      <c r="H868" s="2">
        <v>0.04</v>
      </c>
    </row>
    <row r="869" ht="14.25" customHeight="1">
      <c r="A869" s="2" t="s">
        <v>156</v>
      </c>
      <c r="B869" s="2" t="s">
        <v>80</v>
      </c>
      <c r="C869" s="2" t="s">
        <v>81</v>
      </c>
      <c r="D869" s="2">
        <v>1.57</v>
      </c>
      <c r="E869" s="2">
        <v>0.0</v>
      </c>
      <c r="F869" s="2">
        <v>0.73</v>
      </c>
      <c r="G869" s="2">
        <v>0.0</v>
      </c>
      <c r="H869" s="2">
        <v>0.0</v>
      </c>
    </row>
    <row r="870" ht="14.25" customHeight="1">
      <c r="A870" s="2" t="s">
        <v>156</v>
      </c>
      <c r="B870" s="2" t="s">
        <v>80</v>
      </c>
      <c r="C870" s="2" t="s">
        <v>16</v>
      </c>
      <c r="D870" s="2">
        <v>4.76</v>
      </c>
      <c r="E870" s="2">
        <v>0.0</v>
      </c>
      <c r="F870" s="2">
        <v>2.22</v>
      </c>
      <c r="G870" s="2">
        <v>0.0</v>
      </c>
      <c r="H870" s="2">
        <v>0.01</v>
      </c>
    </row>
    <row r="871" ht="14.25" customHeight="1">
      <c r="A871" s="2" t="s">
        <v>156</v>
      </c>
      <c r="B871" s="2" t="s">
        <v>80</v>
      </c>
      <c r="C871" s="2" t="s">
        <v>17</v>
      </c>
      <c r="D871" s="2">
        <v>0.0</v>
      </c>
      <c r="E871" s="2">
        <v>0.0</v>
      </c>
      <c r="F871" s="2">
        <v>0.0</v>
      </c>
      <c r="G871" s="2">
        <v>0.0</v>
      </c>
      <c r="H871" s="2">
        <v>0.0</v>
      </c>
    </row>
    <row r="872" ht="14.25" customHeight="1">
      <c r="A872" s="2" t="s">
        <v>156</v>
      </c>
      <c r="B872" s="2" t="s">
        <v>80</v>
      </c>
      <c r="C872" s="2" t="s">
        <v>10</v>
      </c>
      <c r="D872" s="2">
        <v>46.14</v>
      </c>
      <c r="E872" s="2">
        <v>0.0</v>
      </c>
      <c r="F872" s="2">
        <v>21.49</v>
      </c>
      <c r="G872" s="2">
        <v>0.02</v>
      </c>
      <c r="H872" s="2">
        <v>0.05</v>
      </c>
    </row>
    <row r="873" ht="14.25" customHeight="1">
      <c r="A873" s="2" t="s">
        <v>156</v>
      </c>
      <c r="B873" s="2" t="s">
        <v>18</v>
      </c>
      <c r="C873" s="2" t="s">
        <v>82</v>
      </c>
      <c r="D873" s="2">
        <v>0.0</v>
      </c>
      <c r="E873" s="2">
        <v>0.0</v>
      </c>
      <c r="F873" s="2">
        <v>0.0</v>
      </c>
      <c r="G873" s="2">
        <v>0.0</v>
      </c>
      <c r="H873" s="2">
        <v>0.0</v>
      </c>
    </row>
    <row r="874" ht="14.25" customHeight="1">
      <c r="A874" s="2" t="s">
        <v>156</v>
      </c>
      <c r="B874" s="2" t="s">
        <v>18</v>
      </c>
      <c r="C874" s="2" t="s">
        <v>10</v>
      </c>
      <c r="D874" s="2">
        <v>0.0</v>
      </c>
      <c r="E874" s="2">
        <v>0.0</v>
      </c>
      <c r="F874" s="2">
        <v>0.0</v>
      </c>
      <c r="G874" s="2">
        <v>0.0</v>
      </c>
      <c r="H874" s="2">
        <v>0.0</v>
      </c>
    </row>
    <row r="875" ht="14.25" customHeight="1">
      <c r="A875" s="2" t="s">
        <v>157</v>
      </c>
      <c r="B875" s="2" t="s">
        <v>9</v>
      </c>
      <c r="C875" s="2" t="s">
        <v>10</v>
      </c>
      <c r="D875" s="2">
        <v>0.0</v>
      </c>
      <c r="E875" s="2">
        <v>0.0</v>
      </c>
      <c r="F875" s="2">
        <v>0.0</v>
      </c>
      <c r="G875" s="2">
        <v>0.0</v>
      </c>
      <c r="H875" s="2">
        <v>0.0</v>
      </c>
    </row>
    <row r="876" ht="14.25" customHeight="1">
      <c r="A876" s="2" t="s">
        <v>157</v>
      </c>
      <c r="B876" s="2" t="s">
        <v>11</v>
      </c>
      <c r="C876" s="2" t="s">
        <v>12</v>
      </c>
      <c r="D876" s="2">
        <v>3.2</v>
      </c>
      <c r="E876" s="2">
        <v>0.0</v>
      </c>
      <c r="F876" s="2">
        <v>1.49</v>
      </c>
      <c r="G876" s="2">
        <v>0.0</v>
      </c>
      <c r="H876" s="2">
        <v>0.0</v>
      </c>
    </row>
    <row r="877" ht="14.25" customHeight="1">
      <c r="A877" s="2" t="s">
        <v>157</v>
      </c>
      <c r="B877" s="2" t="s">
        <v>11</v>
      </c>
      <c r="C877" s="2" t="s">
        <v>12</v>
      </c>
      <c r="D877" s="2">
        <v>1.97</v>
      </c>
      <c r="E877" s="2">
        <v>0.0</v>
      </c>
      <c r="F877" s="2">
        <v>0.92</v>
      </c>
      <c r="G877" s="2">
        <v>0.0</v>
      </c>
      <c r="H877" s="2">
        <v>0.0</v>
      </c>
    </row>
    <row r="878" ht="14.25" customHeight="1">
      <c r="A878" s="2" t="s">
        <v>157</v>
      </c>
      <c r="B878" s="2" t="s">
        <v>11</v>
      </c>
      <c r="C878" s="2" t="s">
        <v>12</v>
      </c>
      <c r="D878" s="2">
        <v>0.02</v>
      </c>
      <c r="E878" s="2">
        <v>0.0</v>
      </c>
      <c r="F878" s="2">
        <v>0.01</v>
      </c>
      <c r="G878" s="2">
        <v>0.0</v>
      </c>
      <c r="H878" s="2">
        <v>0.0</v>
      </c>
    </row>
    <row r="879" ht="14.25" customHeight="1">
      <c r="A879" s="2" t="s">
        <v>157</v>
      </c>
      <c r="B879" s="2" t="s">
        <v>11</v>
      </c>
      <c r="C879" s="2" t="s">
        <v>13</v>
      </c>
      <c r="D879" s="2">
        <v>3.63</v>
      </c>
      <c r="E879" s="2">
        <v>0.0</v>
      </c>
      <c r="F879" s="2">
        <v>1.69</v>
      </c>
      <c r="G879" s="2">
        <v>0.0</v>
      </c>
      <c r="H879" s="2">
        <v>0.0</v>
      </c>
    </row>
    <row r="880" ht="14.25" customHeight="1">
      <c r="A880" s="2" t="s">
        <v>157</v>
      </c>
      <c r="B880" s="2" t="s">
        <v>11</v>
      </c>
      <c r="C880" s="2" t="s">
        <v>14</v>
      </c>
      <c r="D880" s="2">
        <v>0.55</v>
      </c>
      <c r="E880" s="2">
        <v>0.0</v>
      </c>
      <c r="F880" s="2">
        <v>0.26</v>
      </c>
      <c r="G880" s="2">
        <v>0.0</v>
      </c>
      <c r="H880" s="2">
        <v>0.0</v>
      </c>
    </row>
    <row r="881" ht="14.25" customHeight="1">
      <c r="A881" s="2" t="s">
        <v>157</v>
      </c>
      <c r="B881" s="2" t="s">
        <v>11</v>
      </c>
      <c r="C881" s="2" t="s">
        <v>15</v>
      </c>
      <c r="D881" s="2">
        <v>0.32</v>
      </c>
      <c r="E881" s="2">
        <v>0.0</v>
      </c>
      <c r="F881" s="2">
        <v>0.15</v>
      </c>
      <c r="G881" s="2">
        <v>0.0</v>
      </c>
      <c r="H881" s="2">
        <v>0.0</v>
      </c>
    </row>
    <row r="882" ht="14.25" customHeight="1">
      <c r="A882" s="2" t="s">
        <v>157</v>
      </c>
      <c r="B882" s="2" t="s">
        <v>11</v>
      </c>
      <c r="C882" s="2" t="s">
        <v>16</v>
      </c>
      <c r="D882" s="2">
        <v>1.43</v>
      </c>
      <c r="E882" s="2">
        <v>0.0</v>
      </c>
      <c r="F882" s="2">
        <v>0.67</v>
      </c>
      <c r="G882" s="2">
        <v>0.0</v>
      </c>
      <c r="H882" s="2">
        <v>0.0</v>
      </c>
    </row>
    <row r="883" ht="14.25" customHeight="1">
      <c r="A883" s="2" t="s">
        <v>157</v>
      </c>
      <c r="B883" s="2" t="s">
        <v>11</v>
      </c>
      <c r="C883" s="2" t="s">
        <v>17</v>
      </c>
      <c r="D883" s="2">
        <v>0.0</v>
      </c>
      <c r="E883" s="2">
        <v>0.0</v>
      </c>
      <c r="F883" s="2">
        <v>0.0</v>
      </c>
      <c r="G883" s="2">
        <v>0.0</v>
      </c>
      <c r="H883" s="2">
        <v>0.0</v>
      </c>
    </row>
    <row r="884" ht="14.25" customHeight="1">
      <c r="A884" s="2" t="s">
        <v>157</v>
      </c>
      <c r="B884" s="2" t="s">
        <v>11</v>
      </c>
      <c r="C884" s="2" t="s">
        <v>10</v>
      </c>
      <c r="D884" s="2">
        <v>11.12</v>
      </c>
      <c r="E884" s="2">
        <v>0.0</v>
      </c>
      <c r="F884" s="2">
        <v>5.19</v>
      </c>
      <c r="G884" s="2">
        <v>0.0</v>
      </c>
      <c r="H884" s="2">
        <v>0.0</v>
      </c>
    </row>
    <row r="885" ht="14.25" customHeight="1">
      <c r="A885" s="2" t="s">
        <v>157</v>
      </c>
      <c r="B885" s="2" t="s">
        <v>18</v>
      </c>
      <c r="C885" s="2" t="s">
        <v>10</v>
      </c>
      <c r="D885" s="2">
        <v>0.0</v>
      </c>
      <c r="E885" s="2">
        <v>0.0</v>
      </c>
      <c r="F885" s="2">
        <v>0.0</v>
      </c>
      <c r="G885" s="2">
        <v>0.0</v>
      </c>
      <c r="H885" s="2">
        <v>0.0</v>
      </c>
    </row>
    <row r="886" ht="14.25" customHeight="1">
      <c r="A886" s="2" t="s">
        <v>158</v>
      </c>
      <c r="B886" s="2" t="s">
        <v>23</v>
      </c>
      <c r="C886" s="2" t="s">
        <v>24</v>
      </c>
      <c r="D886" s="2">
        <v>7.37</v>
      </c>
      <c r="E886" s="2">
        <v>0.0</v>
      </c>
      <c r="F886" s="2">
        <v>1.5</v>
      </c>
      <c r="G886" s="2">
        <v>0.01</v>
      </c>
      <c r="H886" s="2">
        <v>0.0</v>
      </c>
    </row>
    <row r="887" ht="14.25" customHeight="1">
      <c r="A887" s="2" t="s">
        <v>158</v>
      </c>
      <c r="B887" s="2" t="s">
        <v>23</v>
      </c>
      <c r="C887" s="2" t="s">
        <v>25</v>
      </c>
      <c r="D887" s="2">
        <v>2.85</v>
      </c>
      <c r="E887" s="2">
        <v>0.0</v>
      </c>
      <c r="F887" s="2">
        <v>0.58</v>
      </c>
      <c r="G887" s="2">
        <v>0.0</v>
      </c>
      <c r="H887" s="2">
        <v>0.0</v>
      </c>
    </row>
    <row r="888" ht="14.25" customHeight="1">
      <c r="A888" s="2" t="s">
        <v>158</v>
      </c>
      <c r="B888" s="2" t="s">
        <v>23</v>
      </c>
      <c r="C888" s="2" t="s">
        <v>25</v>
      </c>
      <c r="D888" s="2">
        <v>2.62</v>
      </c>
      <c r="E888" s="2">
        <v>0.0</v>
      </c>
      <c r="F888" s="2">
        <v>0.53</v>
      </c>
      <c r="G888" s="2">
        <v>0.0</v>
      </c>
      <c r="H888" s="2">
        <v>0.0</v>
      </c>
    </row>
    <row r="889" ht="14.25" customHeight="1">
      <c r="A889" s="2" t="s">
        <v>158</v>
      </c>
      <c r="B889" s="2" t="s">
        <v>23</v>
      </c>
      <c r="C889" s="2" t="s">
        <v>25</v>
      </c>
      <c r="D889" s="2">
        <v>0.0</v>
      </c>
      <c r="E889" s="2">
        <v>0.0</v>
      </c>
      <c r="F889" s="2">
        <v>0.0</v>
      </c>
      <c r="G889" s="2">
        <v>0.0</v>
      </c>
      <c r="H889" s="2">
        <v>0.0</v>
      </c>
    </row>
    <row r="890" ht="14.25" customHeight="1">
      <c r="A890" s="2" t="s">
        <v>158</v>
      </c>
      <c r="B890" s="2" t="s">
        <v>23</v>
      </c>
      <c r="C890" s="2" t="s">
        <v>25</v>
      </c>
      <c r="D890" s="2">
        <v>0.0</v>
      </c>
      <c r="E890" s="2">
        <v>0.0</v>
      </c>
      <c r="F890" s="2">
        <v>0.0</v>
      </c>
      <c r="G890" s="2">
        <v>0.0</v>
      </c>
      <c r="H890" s="2">
        <v>0.0</v>
      </c>
    </row>
    <row r="891" ht="14.25" customHeight="1">
      <c r="A891" s="2" t="s">
        <v>158</v>
      </c>
      <c r="B891" s="2" t="s">
        <v>23</v>
      </c>
      <c r="C891" s="2" t="s">
        <v>25</v>
      </c>
      <c r="D891" s="2">
        <v>0.0</v>
      </c>
      <c r="E891" s="2">
        <v>0.0</v>
      </c>
      <c r="F891" s="2">
        <v>0.0</v>
      </c>
      <c r="G891" s="2">
        <v>0.0</v>
      </c>
      <c r="H891" s="2">
        <v>0.0</v>
      </c>
    </row>
    <row r="892" ht="14.25" customHeight="1">
      <c r="A892" s="2" t="s">
        <v>158</v>
      </c>
      <c r="B892" s="2" t="s">
        <v>23</v>
      </c>
      <c r="C892" s="2" t="s">
        <v>31</v>
      </c>
      <c r="D892" s="2">
        <v>1.9</v>
      </c>
      <c r="E892" s="2">
        <v>0.0</v>
      </c>
      <c r="F892" s="2">
        <v>0.39</v>
      </c>
      <c r="G892" s="2">
        <v>0.0</v>
      </c>
      <c r="H892" s="2">
        <v>0.0</v>
      </c>
    </row>
    <row r="893" ht="14.25" customHeight="1">
      <c r="A893" s="2" t="s">
        <v>158</v>
      </c>
      <c r="B893" s="2" t="s">
        <v>23</v>
      </c>
      <c r="C893" s="2" t="s">
        <v>31</v>
      </c>
      <c r="D893" s="2">
        <v>0.36</v>
      </c>
      <c r="E893" s="2">
        <v>0.0</v>
      </c>
      <c r="F893" s="2">
        <v>0.07</v>
      </c>
      <c r="G893" s="2">
        <v>0.0</v>
      </c>
      <c r="H893" s="2">
        <v>0.0</v>
      </c>
    </row>
    <row r="894" ht="14.25" customHeight="1">
      <c r="A894" s="2" t="s">
        <v>158</v>
      </c>
      <c r="B894" s="2" t="s">
        <v>23</v>
      </c>
      <c r="C894" s="2" t="s">
        <v>32</v>
      </c>
      <c r="D894" s="2">
        <v>0.0</v>
      </c>
      <c r="E894" s="2">
        <v>0.0</v>
      </c>
      <c r="F894" s="2">
        <v>0.0</v>
      </c>
      <c r="G894" s="2">
        <v>0.0</v>
      </c>
      <c r="H894" s="2">
        <v>0.0</v>
      </c>
    </row>
    <row r="895" ht="14.25" customHeight="1">
      <c r="A895" s="2" t="s">
        <v>158</v>
      </c>
      <c r="B895" s="2" t="s">
        <v>23</v>
      </c>
      <c r="C895" s="2" t="s">
        <v>32</v>
      </c>
      <c r="D895" s="2">
        <v>0.0</v>
      </c>
      <c r="E895" s="2">
        <v>0.0</v>
      </c>
      <c r="F895" s="2">
        <v>0.0</v>
      </c>
      <c r="G895" s="2">
        <v>0.0</v>
      </c>
      <c r="H895" s="2">
        <v>0.0</v>
      </c>
    </row>
    <row r="896" ht="14.25" customHeight="1">
      <c r="A896" s="2" t="s">
        <v>158</v>
      </c>
      <c r="B896" s="2" t="s">
        <v>23</v>
      </c>
      <c r="C896" s="2" t="s">
        <v>26</v>
      </c>
      <c r="D896" s="2">
        <v>0.0</v>
      </c>
      <c r="E896" s="2">
        <v>0.0</v>
      </c>
      <c r="F896" s="2">
        <v>0.0</v>
      </c>
      <c r="G896" s="2">
        <v>0.0</v>
      </c>
      <c r="H896" s="2">
        <v>0.0</v>
      </c>
    </row>
    <row r="897" ht="14.25" customHeight="1">
      <c r="A897" s="2" t="s">
        <v>158</v>
      </c>
      <c r="B897" s="2" t="s">
        <v>23</v>
      </c>
      <c r="C897" s="2" t="s">
        <v>33</v>
      </c>
      <c r="D897" s="2">
        <v>0.0</v>
      </c>
      <c r="E897" s="2">
        <v>0.0</v>
      </c>
      <c r="F897" s="2">
        <v>0.0</v>
      </c>
      <c r="G897" s="2">
        <v>0.0</v>
      </c>
      <c r="H897" s="2">
        <v>0.0</v>
      </c>
    </row>
    <row r="898" ht="14.25" customHeight="1">
      <c r="A898" s="2" t="s">
        <v>158</v>
      </c>
      <c r="B898" s="2" t="s">
        <v>23</v>
      </c>
      <c r="C898" s="2" t="s">
        <v>10</v>
      </c>
      <c r="D898" s="2">
        <v>15.1</v>
      </c>
      <c r="E898" s="2">
        <v>0.0</v>
      </c>
      <c r="F898" s="2">
        <v>3.07</v>
      </c>
      <c r="G898" s="2">
        <v>0.01</v>
      </c>
      <c r="H898" s="2">
        <v>0.0</v>
      </c>
    </row>
    <row r="899" ht="14.25" customHeight="1">
      <c r="A899" s="2" t="s">
        <v>158</v>
      </c>
      <c r="B899" s="2" t="s">
        <v>29</v>
      </c>
      <c r="C899" s="2" t="s">
        <v>34</v>
      </c>
      <c r="D899" s="2">
        <v>0.0</v>
      </c>
      <c r="E899" s="2">
        <v>0.0</v>
      </c>
      <c r="F899" s="2">
        <v>0.0</v>
      </c>
      <c r="G899" s="2">
        <v>0.0</v>
      </c>
      <c r="H899" s="2">
        <v>0.0</v>
      </c>
    </row>
    <row r="900" ht="14.25" customHeight="1">
      <c r="A900" s="2" t="s">
        <v>158</v>
      </c>
      <c r="B900" s="2" t="s">
        <v>29</v>
      </c>
      <c r="C900" s="2" t="s">
        <v>35</v>
      </c>
      <c r="D900" s="2">
        <v>0.0</v>
      </c>
      <c r="E900" s="2">
        <v>0.0</v>
      </c>
      <c r="F900" s="2">
        <v>0.0</v>
      </c>
      <c r="G900" s="2">
        <v>0.0</v>
      </c>
      <c r="H900" s="2">
        <v>0.0</v>
      </c>
    </row>
    <row r="901" ht="14.25" customHeight="1">
      <c r="A901" s="2" t="s">
        <v>158</v>
      </c>
      <c r="B901" s="2" t="s">
        <v>29</v>
      </c>
      <c r="C901" s="2" t="s">
        <v>35</v>
      </c>
      <c r="D901" s="2">
        <v>0.0</v>
      </c>
      <c r="E901" s="2">
        <v>0.0</v>
      </c>
      <c r="F901" s="2">
        <v>0.0</v>
      </c>
      <c r="G901" s="2">
        <v>0.0</v>
      </c>
      <c r="H901" s="2">
        <v>0.0</v>
      </c>
    </row>
    <row r="902" ht="14.25" customHeight="1">
      <c r="A902" s="2" t="s">
        <v>158</v>
      </c>
      <c r="B902" s="2" t="s">
        <v>29</v>
      </c>
      <c r="C902" s="2" t="s">
        <v>36</v>
      </c>
      <c r="D902" s="2">
        <v>0.0</v>
      </c>
      <c r="E902" s="2">
        <v>0.0</v>
      </c>
      <c r="F902" s="2">
        <v>0.0</v>
      </c>
      <c r="G902" s="2">
        <v>0.0</v>
      </c>
      <c r="H902" s="2">
        <v>0.0</v>
      </c>
    </row>
    <row r="903" ht="14.25" customHeight="1">
      <c r="A903" s="2" t="s">
        <v>158</v>
      </c>
      <c r="B903" s="2" t="s">
        <v>29</v>
      </c>
      <c r="C903" s="2" t="s">
        <v>10</v>
      </c>
      <c r="D903" s="2">
        <v>0.0</v>
      </c>
      <c r="E903" s="2">
        <v>0.0</v>
      </c>
      <c r="F903" s="2">
        <v>0.0</v>
      </c>
      <c r="G903" s="2">
        <v>0.0</v>
      </c>
      <c r="H903" s="2">
        <v>0.0</v>
      </c>
    </row>
    <row r="904" ht="14.25" customHeight="1">
      <c r="A904" s="2" t="s">
        <v>158</v>
      </c>
      <c r="B904" s="2" t="s">
        <v>18</v>
      </c>
      <c r="C904" s="2" t="s">
        <v>10</v>
      </c>
      <c r="D904" s="2">
        <v>0.0</v>
      </c>
      <c r="E904" s="2">
        <v>0.0</v>
      </c>
      <c r="F904" s="2">
        <v>0.0</v>
      </c>
      <c r="G904" s="2">
        <v>0.0</v>
      </c>
      <c r="H904" s="2">
        <v>0.0</v>
      </c>
    </row>
    <row r="905" ht="14.25" customHeight="1">
      <c r="A905" s="2" t="s">
        <v>159</v>
      </c>
      <c r="B905" s="2" t="s">
        <v>23</v>
      </c>
      <c r="C905" s="2" t="s">
        <v>24</v>
      </c>
      <c r="D905" s="2">
        <v>154.56</v>
      </c>
      <c r="E905" s="2">
        <v>0.02</v>
      </c>
      <c r="F905" s="2">
        <v>31.36</v>
      </c>
      <c r="G905" s="2">
        <v>0.23</v>
      </c>
      <c r="H905" s="2">
        <v>0.0</v>
      </c>
    </row>
    <row r="906" ht="14.25" customHeight="1">
      <c r="A906" s="2" t="s">
        <v>159</v>
      </c>
      <c r="B906" s="2" t="s">
        <v>23</v>
      </c>
      <c r="C906" s="2" t="s">
        <v>24</v>
      </c>
      <c r="D906" s="2">
        <v>38.05</v>
      </c>
      <c r="E906" s="2">
        <v>0.01</v>
      </c>
      <c r="F906" s="2">
        <v>7.72</v>
      </c>
      <c r="G906" s="2">
        <v>0.06</v>
      </c>
      <c r="H906" s="2">
        <v>0.0</v>
      </c>
    </row>
    <row r="907" ht="14.25" customHeight="1">
      <c r="A907" s="2" t="s">
        <v>159</v>
      </c>
      <c r="B907" s="2" t="s">
        <v>23</v>
      </c>
      <c r="C907" s="2" t="s">
        <v>25</v>
      </c>
      <c r="D907" s="2">
        <v>76.09</v>
      </c>
      <c r="E907" s="2">
        <v>0.01</v>
      </c>
      <c r="F907" s="2">
        <v>15.44</v>
      </c>
      <c r="G907" s="2">
        <v>0.11</v>
      </c>
      <c r="H907" s="2">
        <v>0.0</v>
      </c>
    </row>
    <row r="908" ht="14.25" customHeight="1">
      <c r="A908" s="2" t="s">
        <v>159</v>
      </c>
      <c r="B908" s="2" t="s">
        <v>23</v>
      </c>
      <c r="C908" s="2" t="s">
        <v>32</v>
      </c>
      <c r="D908" s="2">
        <v>56.0</v>
      </c>
      <c r="E908" s="2">
        <v>0.01</v>
      </c>
      <c r="F908" s="2">
        <v>11.36</v>
      </c>
      <c r="G908" s="2">
        <v>0.08</v>
      </c>
      <c r="H908" s="2">
        <v>0.0</v>
      </c>
    </row>
    <row r="909" ht="14.25" customHeight="1">
      <c r="A909" s="2" t="s">
        <v>159</v>
      </c>
      <c r="B909" s="2" t="s">
        <v>23</v>
      </c>
      <c r="C909" s="2" t="s">
        <v>32</v>
      </c>
      <c r="D909" s="2">
        <v>7.13</v>
      </c>
      <c r="E909" s="2">
        <v>0.0</v>
      </c>
      <c r="F909" s="2">
        <v>1.45</v>
      </c>
      <c r="G909" s="2">
        <v>0.01</v>
      </c>
      <c r="H909" s="2">
        <v>0.0</v>
      </c>
    </row>
    <row r="910" ht="14.25" customHeight="1">
      <c r="A910" s="2" t="s">
        <v>159</v>
      </c>
      <c r="B910" s="2" t="s">
        <v>23</v>
      </c>
      <c r="C910" s="2" t="s">
        <v>26</v>
      </c>
      <c r="D910" s="2">
        <v>0.0</v>
      </c>
      <c r="E910" s="2">
        <v>0.0</v>
      </c>
      <c r="F910" s="2">
        <v>0.0</v>
      </c>
      <c r="G910" s="2">
        <v>0.0</v>
      </c>
      <c r="H910" s="2">
        <v>0.0</v>
      </c>
    </row>
    <row r="911" ht="14.25" customHeight="1">
      <c r="A911" s="2" t="s">
        <v>159</v>
      </c>
      <c r="B911" s="2" t="s">
        <v>23</v>
      </c>
      <c r="C911" s="2" t="s">
        <v>33</v>
      </c>
      <c r="D911" s="2">
        <v>0.0</v>
      </c>
      <c r="E911" s="2">
        <v>0.0</v>
      </c>
      <c r="F911" s="2">
        <v>0.0</v>
      </c>
      <c r="G911" s="2">
        <v>0.0</v>
      </c>
      <c r="H911" s="2">
        <v>0.0</v>
      </c>
    </row>
    <row r="912" ht="14.25" customHeight="1">
      <c r="A912" s="2" t="s">
        <v>159</v>
      </c>
      <c r="B912" s="2" t="s">
        <v>23</v>
      </c>
      <c r="C912" s="2" t="s">
        <v>33</v>
      </c>
      <c r="D912" s="2">
        <v>0.0</v>
      </c>
      <c r="E912" s="2">
        <v>0.0</v>
      </c>
      <c r="F912" s="2">
        <v>0.0</v>
      </c>
      <c r="G912" s="2">
        <v>0.0</v>
      </c>
      <c r="H912" s="2">
        <v>0.0</v>
      </c>
    </row>
    <row r="913" ht="14.25" customHeight="1">
      <c r="A913" s="2" t="s">
        <v>159</v>
      </c>
      <c r="B913" s="2" t="s">
        <v>23</v>
      </c>
      <c r="C913" s="2" t="s">
        <v>10</v>
      </c>
      <c r="D913" s="2">
        <v>331.83</v>
      </c>
      <c r="E913" s="2">
        <v>0.05</v>
      </c>
      <c r="F913" s="2">
        <v>67.33</v>
      </c>
      <c r="G913" s="2">
        <v>0.49</v>
      </c>
      <c r="H913" s="2">
        <v>0.0</v>
      </c>
    </row>
    <row r="914" ht="14.25" customHeight="1">
      <c r="A914" s="2" t="s">
        <v>159</v>
      </c>
      <c r="B914" s="2" t="s">
        <v>29</v>
      </c>
      <c r="C914" s="2" t="s">
        <v>34</v>
      </c>
      <c r="D914" s="2">
        <v>2.38</v>
      </c>
      <c r="E914" s="2">
        <v>0.0</v>
      </c>
      <c r="F914" s="2">
        <v>0.48</v>
      </c>
      <c r="G914" s="2">
        <v>0.0</v>
      </c>
      <c r="H914" s="2">
        <v>0.0</v>
      </c>
    </row>
    <row r="915" ht="14.25" customHeight="1">
      <c r="A915" s="2" t="s">
        <v>159</v>
      </c>
      <c r="B915" s="2" t="s">
        <v>29</v>
      </c>
      <c r="C915" s="2" t="s">
        <v>35</v>
      </c>
      <c r="D915" s="2">
        <v>0.0</v>
      </c>
      <c r="E915" s="2">
        <v>0.0</v>
      </c>
      <c r="F915" s="2">
        <v>0.0</v>
      </c>
      <c r="G915" s="2">
        <v>0.0</v>
      </c>
      <c r="H915" s="2">
        <v>0.0</v>
      </c>
    </row>
    <row r="916" ht="14.25" customHeight="1">
      <c r="A916" s="2" t="s">
        <v>159</v>
      </c>
      <c r="B916" s="2" t="s">
        <v>29</v>
      </c>
      <c r="C916" s="2" t="s">
        <v>35</v>
      </c>
      <c r="D916" s="2">
        <v>0.0</v>
      </c>
      <c r="E916" s="2">
        <v>0.0</v>
      </c>
      <c r="F916" s="2">
        <v>0.0</v>
      </c>
      <c r="G916" s="2">
        <v>0.0</v>
      </c>
      <c r="H916" s="2">
        <v>0.0</v>
      </c>
    </row>
    <row r="917" ht="14.25" customHeight="1">
      <c r="A917" s="2" t="s">
        <v>159</v>
      </c>
      <c r="B917" s="2" t="s">
        <v>29</v>
      </c>
      <c r="C917" s="2" t="s">
        <v>35</v>
      </c>
      <c r="D917" s="2">
        <v>0.0</v>
      </c>
      <c r="E917" s="2">
        <v>0.0</v>
      </c>
      <c r="F917" s="2">
        <v>0.0</v>
      </c>
      <c r="G917" s="2">
        <v>0.0</v>
      </c>
      <c r="H917" s="2">
        <v>0.0</v>
      </c>
    </row>
    <row r="918" ht="14.25" customHeight="1">
      <c r="A918" s="2" t="s">
        <v>159</v>
      </c>
      <c r="B918" s="2" t="s">
        <v>29</v>
      </c>
      <c r="C918" s="2" t="s">
        <v>36</v>
      </c>
      <c r="D918" s="2">
        <v>0.0</v>
      </c>
      <c r="E918" s="2">
        <v>0.0</v>
      </c>
      <c r="F918" s="2">
        <v>0.0</v>
      </c>
      <c r="G918" s="2">
        <v>0.0</v>
      </c>
      <c r="H918" s="2">
        <v>0.0</v>
      </c>
    </row>
    <row r="919" ht="14.25" customHeight="1">
      <c r="A919" s="2" t="s">
        <v>159</v>
      </c>
      <c r="B919" s="2" t="s">
        <v>29</v>
      </c>
      <c r="C919" s="2" t="s">
        <v>10</v>
      </c>
      <c r="D919" s="2">
        <v>2.38</v>
      </c>
      <c r="E919" s="2">
        <v>0.0</v>
      </c>
      <c r="F919" s="2">
        <v>0.48</v>
      </c>
      <c r="G919" s="2">
        <v>0.0</v>
      </c>
      <c r="H919" s="2">
        <v>0.0</v>
      </c>
    </row>
    <row r="920" ht="14.25" customHeight="1">
      <c r="A920" s="2" t="s">
        <v>159</v>
      </c>
      <c r="B920" s="2" t="s">
        <v>18</v>
      </c>
      <c r="C920" s="2" t="s">
        <v>10</v>
      </c>
      <c r="D920" s="2">
        <v>0.0</v>
      </c>
      <c r="E920" s="2">
        <v>0.0</v>
      </c>
      <c r="F920" s="2">
        <v>0.0</v>
      </c>
      <c r="G920" s="2">
        <v>0.0</v>
      </c>
      <c r="H920" s="2">
        <v>0.0</v>
      </c>
    </row>
    <row r="921" ht="14.25" customHeight="1">
      <c r="A921" s="2" t="s">
        <v>160</v>
      </c>
      <c r="B921" s="2" t="s">
        <v>80</v>
      </c>
      <c r="C921" s="2" t="s">
        <v>81</v>
      </c>
      <c r="D921" s="2">
        <v>12.91</v>
      </c>
      <c r="E921" s="2">
        <v>0.0</v>
      </c>
      <c r="F921" s="2">
        <v>6.01</v>
      </c>
      <c r="G921" s="2">
        <v>0.01</v>
      </c>
      <c r="H921" s="2">
        <v>0.01</v>
      </c>
    </row>
    <row r="922" ht="14.25" customHeight="1">
      <c r="A922" s="2" t="s">
        <v>160</v>
      </c>
      <c r="B922" s="2" t="s">
        <v>80</v>
      </c>
      <c r="C922" s="2" t="s">
        <v>81</v>
      </c>
      <c r="D922" s="2">
        <v>9.52</v>
      </c>
      <c r="E922" s="2">
        <v>0.0</v>
      </c>
      <c r="F922" s="2">
        <v>4.43</v>
      </c>
      <c r="G922" s="2">
        <v>0.0</v>
      </c>
      <c r="H922" s="2">
        <v>0.01</v>
      </c>
    </row>
    <row r="923" ht="14.25" customHeight="1">
      <c r="A923" s="2" t="s">
        <v>160</v>
      </c>
      <c r="B923" s="2" t="s">
        <v>80</v>
      </c>
      <c r="C923" s="2" t="s">
        <v>81</v>
      </c>
      <c r="D923" s="2">
        <v>13.1</v>
      </c>
      <c r="E923" s="2">
        <v>0.0</v>
      </c>
      <c r="F923" s="2">
        <v>6.1</v>
      </c>
      <c r="G923" s="2">
        <v>0.01</v>
      </c>
      <c r="H923" s="2">
        <v>0.01</v>
      </c>
    </row>
    <row r="924" ht="14.25" customHeight="1">
      <c r="A924" s="2" t="s">
        <v>160</v>
      </c>
      <c r="B924" s="2" t="s">
        <v>80</v>
      </c>
      <c r="C924" s="2" t="s">
        <v>81</v>
      </c>
      <c r="D924" s="2">
        <v>0.04</v>
      </c>
      <c r="E924" s="2">
        <v>0.0</v>
      </c>
      <c r="F924" s="2">
        <v>0.02</v>
      </c>
      <c r="G924" s="2">
        <v>0.0</v>
      </c>
      <c r="H924" s="2">
        <v>0.0</v>
      </c>
    </row>
    <row r="925" ht="14.25" customHeight="1">
      <c r="A925" s="2" t="s">
        <v>160</v>
      </c>
      <c r="B925" s="2" t="s">
        <v>80</v>
      </c>
      <c r="C925" s="2" t="s">
        <v>16</v>
      </c>
      <c r="D925" s="2">
        <v>4.76</v>
      </c>
      <c r="E925" s="2">
        <v>0.0</v>
      </c>
      <c r="F925" s="2">
        <v>2.22</v>
      </c>
      <c r="G925" s="2">
        <v>0.0</v>
      </c>
      <c r="H925" s="2">
        <v>0.01</v>
      </c>
    </row>
    <row r="926" ht="14.25" customHeight="1">
      <c r="A926" s="2" t="s">
        <v>160</v>
      </c>
      <c r="B926" s="2" t="s">
        <v>80</v>
      </c>
      <c r="C926" s="2" t="s">
        <v>17</v>
      </c>
      <c r="D926" s="2">
        <v>0.0</v>
      </c>
      <c r="E926" s="2">
        <v>0.0</v>
      </c>
      <c r="F926" s="2">
        <v>0.0</v>
      </c>
      <c r="G926" s="2">
        <v>0.0</v>
      </c>
      <c r="H926" s="2">
        <v>0.0</v>
      </c>
    </row>
    <row r="927" ht="14.25" customHeight="1">
      <c r="A927" s="2" t="s">
        <v>160</v>
      </c>
      <c r="B927" s="2" t="s">
        <v>80</v>
      </c>
      <c r="C927" s="2" t="s">
        <v>10</v>
      </c>
      <c r="D927" s="2">
        <v>40.33</v>
      </c>
      <c r="E927" s="2">
        <v>0.0</v>
      </c>
      <c r="F927" s="2">
        <v>18.78</v>
      </c>
      <c r="G927" s="2">
        <v>0.02</v>
      </c>
      <c r="H927" s="2">
        <v>0.04</v>
      </c>
    </row>
    <row r="928" ht="14.25" customHeight="1">
      <c r="A928" s="2" t="s">
        <v>160</v>
      </c>
      <c r="B928" s="2" t="s">
        <v>18</v>
      </c>
      <c r="C928" s="2" t="s">
        <v>82</v>
      </c>
      <c r="D928" s="2">
        <v>0.0</v>
      </c>
      <c r="E928" s="2">
        <v>0.0</v>
      </c>
      <c r="F928" s="2">
        <v>0.0</v>
      </c>
      <c r="G928" s="2">
        <v>0.0</v>
      </c>
      <c r="H928" s="2">
        <v>0.0</v>
      </c>
    </row>
    <row r="929" ht="14.25" customHeight="1">
      <c r="A929" s="2" t="s">
        <v>160</v>
      </c>
      <c r="B929" s="2" t="s">
        <v>18</v>
      </c>
      <c r="C929" s="2" t="s">
        <v>10</v>
      </c>
      <c r="D929" s="2">
        <v>0.0</v>
      </c>
      <c r="E929" s="2">
        <v>0.0</v>
      </c>
      <c r="F929" s="2">
        <v>0.0</v>
      </c>
      <c r="G929" s="2">
        <v>0.0</v>
      </c>
      <c r="H929" s="2">
        <v>0.0</v>
      </c>
    </row>
    <row r="930" ht="14.25" customHeight="1">
      <c r="C930" s="2" t="s">
        <v>161</v>
      </c>
      <c r="D930" s="2">
        <v>15600.02</v>
      </c>
      <c r="E930" s="2">
        <v>2.15</v>
      </c>
      <c r="F930" s="2">
        <v>4034.44</v>
      </c>
      <c r="G930" s="2">
        <v>21.75</v>
      </c>
      <c r="H930" s="2">
        <v>3.15</v>
      </c>
    </row>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1.0" footer="0.0" header="0.0" left="0.75" right="0.75" top="1.0"/>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5.25"/>
    <col customWidth="1" min="3" max="8" width="15.13"/>
    <col customWidth="1" min="9" max="9" width="5.88"/>
  </cols>
  <sheetData>
    <row r="1">
      <c r="A1" s="3"/>
      <c r="B1" s="4"/>
      <c r="C1" s="4"/>
      <c r="D1" s="4"/>
      <c r="E1" s="4"/>
      <c r="F1" s="4"/>
      <c r="G1" s="4"/>
      <c r="H1" s="4"/>
      <c r="I1" s="4"/>
      <c r="J1" s="3"/>
      <c r="K1" s="3"/>
      <c r="L1" s="3"/>
      <c r="M1" s="3"/>
      <c r="N1" s="3"/>
      <c r="O1" s="3"/>
      <c r="P1" s="3"/>
      <c r="Q1" s="3"/>
      <c r="R1" s="3"/>
      <c r="S1" s="3"/>
      <c r="T1" s="3"/>
      <c r="U1" s="3"/>
      <c r="V1" s="3"/>
    </row>
    <row r="2">
      <c r="A2" s="5"/>
      <c r="B2" s="6"/>
      <c r="C2" s="7"/>
      <c r="D2" s="7"/>
      <c r="E2" s="7"/>
      <c r="F2" s="7"/>
      <c r="G2" s="7"/>
      <c r="H2" s="7"/>
      <c r="I2" s="8"/>
      <c r="J2" s="9"/>
      <c r="K2" s="3"/>
      <c r="L2" s="3"/>
      <c r="M2" s="3"/>
      <c r="N2" s="3"/>
      <c r="O2" s="3"/>
      <c r="P2" s="3"/>
      <c r="Q2" s="3"/>
      <c r="R2" s="3"/>
      <c r="S2" s="3"/>
      <c r="T2" s="3"/>
      <c r="U2" s="3"/>
      <c r="V2" s="3"/>
    </row>
    <row r="3">
      <c r="A3" s="5"/>
      <c r="B3" s="10" t="s">
        <v>162</v>
      </c>
      <c r="C3" s="11"/>
      <c r="D3" s="11"/>
      <c r="E3" s="11"/>
      <c r="F3" s="11"/>
      <c r="G3" s="11"/>
      <c r="H3" s="11"/>
      <c r="I3" s="12"/>
      <c r="J3" s="9"/>
      <c r="K3" s="3"/>
      <c r="L3" s="3"/>
      <c r="M3" s="3"/>
      <c r="N3" s="3"/>
      <c r="O3" s="3"/>
      <c r="P3" s="3"/>
      <c r="Q3" s="3"/>
      <c r="R3" s="3"/>
      <c r="S3" s="3"/>
      <c r="T3" s="3"/>
      <c r="U3" s="3"/>
      <c r="V3" s="3"/>
    </row>
    <row r="4">
      <c r="A4" s="5"/>
      <c r="B4" s="13"/>
      <c r="C4" s="14"/>
      <c r="D4" s="14"/>
      <c r="E4" s="14"/>
      <c r="F4" s="14"/>
      <c r="G4" s="14"/>
      <c r="H4" s="14"/>
      <c r="I4" s="15"/>
      <c r="J4" s="9"/>
      <c r="K4" s="3"/>
      <c r="L4" s="3"/>
      <c r="M4" s="3"/>
      <c r="N4" s="3"/>
      <c r="O4" s="3"/>
      <c r="P4" s="3"/>
      <c r="Q4" s="3"/>
      <c r="R4" s="3"/>
      <c r="S4" s="3"/>
      <c r="T4" s="3"/>
      <c r="U4" s="3"/>
      <c r="V4" s="3"/>
    </row>
    <row r="5">
      <c r="A5" s="5"/>
      <c r="B5" s="16" t="s">
        <v>163</v>
      </c>
      <c r="C5" s="11"/>
      <c r="D5" s="11"/>
      <c r="E5" s="11"/>
      <c r="F5" s="11"/>
      <c r="G5" s="11"/>
      <c r="H5" s="11"/>
      <c r="I5" s="12"/>
      <c r="J5" s="9"/>
      <c r="K5" s="3"/>
      <c r="L5" s="3"/>
      <c r="M5" s="3"/>
      <c r="N5" s="3"/>
      <c r="O5" s="3"/>
      <c r="P5" s="3"/>
      <c r="Q5" s="3"/>
      <c r="R5" s="3"/>
      <c r="S5" s="3"/>
      <c r="T5" s="3"/>
      <c r="U5" s="3"/>
      <c r="V5" s="3"/>
    </row>
    <row r="6">
      <c r="A6" s="5"/>
      <c r="B6" s="17"/>
      <c r="I6" s="18"/>
      <c r="J6" s="9"/>
      <c r="K6" s="3"/>
      <c r="L6" s="3"/>
      <c r="M6" s="3"/>
      <c r="N6" s="3"/>
      <c r="O6" s="3"/>
      <c r="P6" s="3"/>
      <c r="Q6" s="3"/>
      <c r="R6" s="3"/>
      <c r="S6" s="3"/>
      <c r="T6" s="3"/>
      <c r="U6" s="3"/>
      <c r="V6" s="3"/>
    </row>
    <row r="7" ht="3.0" customHeight="1">
      <c r="A7" s="5"/>
      <c r="B7" s="13"/>
      <c r="C7" s="14"/>
      <c r="D7" s="14"/>
      <c r="E7" s="14"/>
      <c r="F7" s="14"/>
      <c r="G7" s="14"/>
      <c r="H7" s="14"/>
      <c r="I7" s="15"/>
      <c r="J7" s="9"/>
      <c r="K7" s="3"/>
      <c r="L7" s="3"/>
      <c r="M7" s="3"/>
      <c r="N7" s="3"/>
      <c r="O7" s="3"/>
      <c r="P7" s="3"/>
      <c r="Q7" s="3"/>
      <c r="R7" s="3"/>
      <c r="S7" s="3"/>
      <c r="T7" s="3"/>
      <c r="U7" s="3"/>
      <c r="V7" s="3"/>
    </row>
    <row r="8">
      <c r="A8" s="5"/>
      <c r="B8" s="19" t="s">
        <v>164</v>
      </c>
      <c r="C8" s="20"/>
      <c r="D8" s="20"/>
      <c r="E8" s="20"/>
      <c r="F8" s="20"/>
      <c r="G8" s="20"/>
      <c r="H8" s="20"/>
      <c r="I8" s="21"/>
      <c r="J8" s="9"/>
      <c r="K8" s="3"/>
      <c r="L8" s="3"/>
      <c r="M8" s="3"/>
      <c r="N8" s="3"/>
      <c r="O8" s="3"/>
      <c r="P8" s="3"/>
      <c r="Q8" s="3"/>
      <c r="R8" s="3"/>
      <c r="S8" s="3"/>
      <c r="T8" s="3"/>
      <c r="U8" s="3"/>
      <c r="V8" s="3"/>
    </row>
    <row r="9">
      <c r="A9" s="5"/>
      <c r="B9" s="22"/>
      <c r="C9" s="11"/>
      <c r="D9" s="11"/>
      <c r="E9" s="11"/>
      <c r="F9" s="11"/>
      <c r="G9" s="11"/>
      <c r="H9" s="11"/>
      <c r="I9" s="12"/>
      <c r="J9" s="9"/>
      <c r="K9" s="3"/>
      <c r="L9" s="3"/>
      <c r="M9" s="3"/>
      <c r="N9" s="3"/>
      <c r="O9" s="3"/>
      <c r="P9" s="3"/>
      <c r="Q9" s="3"/>
      <c r="R9" s="3"/>
      <c r="S9" s="3"/>
      <c r="T9" s="3"/>
      <c r="U9" s="3"/>
      <c r="V9" s="3"/>
      <c r="W9" s="3"/>
    </row>
    <row r="10">
      <c r="A10" s="5"/>
      <c r="B10" s="13"/>
      <c r="C10" s="14"/>
      <c r="D10" s="14"/>
      <c r="E10" s="14"/>
      <c r="F10" s="14"/>
      <c r="G10" s="14"/>
      <c r="H10" s="14"/>
      <c r="I10" s="15"/>
      <c r="J10" s="9"/>
      <c r="K10" s="3"/>
      <c r="L10" s="3"/>
      <c r="M10" s="3"/>
      <c r="N10" s="3"/>
      <c r="O10" s="3"/>
      <c r="P10" s="3"/>
      <c r="Q10" s="3"/>
      <c r="R10" s="3"/>
      <c r="S10" s="3"/>
      <c r="T10" s="3"/>
      <c r="U10" s="3"/>
      <c r="V10" s="3"/>
      <c r="W10" s="3"/>
    </row>
    <row r="11">
      <c r="A11" s="5"/>
      <c r="B11" s="22"/>
      <c r="C11" s="11"/>
      <c r="D11" s="11"/>
      <c r="E11" s="11"/>
      <c r="F11" s="11"/>
      <c r="G11" s="11"/>
      <c r="H11" s="11"/>
      <c r="I11" s="12"/>
      <c r="J11" s="9"/>
      <c r="K11" s="3"/>
      <c r="L11" s="3"/>
      <c r="M11" s="3"/>
      <c r="N11" s="3"/>
      <c r="O11" s="3"/>
      <c r="P11" s="3"/>
      <c r="Q11" s="3"/>
      <c r="R11" s="3"/>
      <c r="S11" s="3"/>
      <c r="T11" s="3"/>
      <c r="U11" s="3"/>
      <c r="V11" s="3"/>
      <c r="W11" s="3"/>
    </row>
    <row r="12">
      <c r="A12" s="5"/>
      <c r="B12" s="17"/>
      <c r="I12" s="18"/>
      <c r="J12" s="9"/>
      <c r="K12" s="3"/>
      <c r="L12" s="3"/>
      <c r="M12" s="3"/>
      <c r="N12" s="3"/>
      <c r="O12" s="3"/>
      <c r="P12" s="3"/>
      <c r="Q12" s="3"/>
      <c r="R12" s="3"/>
      <c r="S12" s="3"/>
      <c r="T12" s="3"/>
      <c r="U12" s="3"/>
      <c r="V12" s="3"/>
      <c r="W12" s="3"/>
    </row>
    <row r="13" ht="25.5" customHeight="1">
      <c r="A13" s="5"/>
      <c r="B13" s="13"/>
      <c r="C13" s="14"/>
      <c r="D13" s="14"/>
      <c r="E13" s="14"/>
      <c r="F13" s="14"/>
      <c r="G13" s="14"/>
      <c r="H13" s="14"/>
      <c r="I13" s="15"/>
      <c r="J13" s="9"/>
      <c r="K13" s="3"/>
      <c r="L13" s="3"/>
      <c r="M13" s="3"/>
      <c r="N13" s="3"/>
      <c r="O13" s="3"/>
      <c r="P13" s="3"/>
      <c r="Q13" s="3"/>
      <c r="R13" s="3"/>
      <c r="S13" s="3"/>
      <c r="T13" s="3"/>
      <c r="U13" s="3"/>
      <c r="V13" s="3"/>
      <c r="W13" s="3"/>
    </row>
    <row r="14">
      <c r="A14" s="5"/>
      <c r="B14" s="23" t="s">
        <v>165</v>
      </c>
      <c r="C14" s="11"/>
      <c r="D14" s="11"/>
      <c r="E14" s="11"/>
      <c r="F14" s="11"/>
      <c r="G14" s="11"/>
      <c r="H14" s="11"/>
      <c r="I14" s="12"/>
      <c r="J14" s="9"/>
      <c r="K14" s="3"/>
      <c r="L14" s="3"/>
      <c r="M14" s="3"/>
      <c r="N14" s="3"/>
      <c r="O14" s="3"/>
      <c r="P14" s="3"/>
      <c r="Q14" s="3"/>
      <c r="R14" s="3"/>
      <c r="S14" s="3"/>
      <c r="T14" s="3"/>
      <c r="U14" s="3"/>
      <c r="V14" s="3"/>
      <c r="W14" s="3"/>
    </row>
    <row r="15">
      <c r="A15" s="5"/>
      <c r="B15" s="17"/>
      <c r="I15" s="18"/>
      <c r="J15" s="9"/>
      <c r="K15" s="3"/>
      <c r="L15" s="3"/>
      <c r="M15" s="3"/>
      <c r="N15" s="3"/>
      <c r="O15" s="3"/>
      <c r="P15" s="3"/>
      <c r="Q15" s="3"/>
      <c r="R15" s="3"/>
      <c r="S15" s="3"/>
      <c r="T15" s="3"/>
      <c r="U15" s="3"/>
      <c r="V15" s="3"/>
      <c r="W15" s="3"/>
    </row>
    <row r="16">
      <c r="A16" s="5"/>
      <c r="B16" s="17"/>
      <c r="I16" s="18"/>
      <c r="J16" s="9"/>
      <c r="K16" s="3"/>
      <c r="L16" s="3"/>
      <c r="M16" s="3"/>
      <c r="N16" s="3"/>
      <c r="O16" s="3"/>
      <c r="P16" s="3"/>
      <c r="Q16" s="3"/>
      <c r="R16" s="3"/>
      <c r="S16" s="3"/>
      <c r="T16" s="3"/>
      <c r="U16" s="3"/>
      <c r="V16" s="3"/>
      <c r="W16" s="3"/>
    </row>
    <row r="17">
      <c r="A17" s="5"/>
      <c r="B17" s="13"/>
      <c r="C17" s="14"/>
      <c r="D17" s="14"/>
      <c r="E17" s="14"/>
      <c r="F17" s="14"/>
      <c r="G17" s="14"/>
      <c r="H17" s="14"/>
      <c r="I17" s="15"/>
      <c r="J17" s="9"/>
      <c r="K17" s="3"/>
      <c r="L17" s="3"/>
      <c r="M17" s="3"/>
      <c r="N17" s="3"/>
      <c r="O17" s="3"/>
      <c r="P17" s="3"/>
      <c r="Q17" s="3"/>
      <c r="R17" s="3"/>
      <c r="S17" s="3"/>
      <c r="T17" s="3"/>
      <c r="U17" s="3"/>
      <c r="V17" s="3"/>
      <c r="W17" s="3"/>
    </row>
    <row r="18">
      <c r="A18" s="5"/>
      <c r="B18" s="24" t="s">
        <v>166</v>
      </c>
      <c r="C18" s="20"/>
      <c r="D18" s="20"/>
      <c r="E18" s="20"/>
      <c r="F18" s="20"/>
      <c r="G18" s="20"/>
      <c r="H18" s="20"/>
      <c r="I18" s="21"/>
      <c r="J18" s="9"/>
      <c r="K18" s="3"/>
      <c r="L18" s="3"/>
      <c r="M18" s="3"/>
      <c r="N18" s="3"/>
      <c r="O18" s="3"/>
      <c r="P18" s="3"/>
      <c r="Q18" s="3"/>
      <c r="R18" s="3"/>
      <c r="S18" s="3"/>
      <c r="T18" s="3"/>
      <c r="U18" s="3"/>
      <c r="V18" s="3"/>
      <c r="W18" s="3"/>
    </row>
    <row r="19">
      <c r="A19" s="5"/>
      <c r="B19" s="24" t="s">
        <v>167</v>
      </c>
      <c r="C19" s="20"/>
      <c r="D19" s="20"/>
      <c r="E19" s="20"/>
      <c r="F19" s="20"/>
      <c r="G19" s="20"/>
      <c r="H19" s="20"/>
      <c r="I19" s="21"/>
      <c r="J19" s="9"/>
      <c r="K19" s="3"/>
      <c r="L19" s="3"/>
      <c r="M19" s="3"/>
      <c r="N19" s="3"/>
      <c r="O19" s="3"/>
      <c r="P19" s="3"/>
      <c r="Q19" s="3"/>
      <c r="R19" s="3"/>
      <c r="S19" s="3"/>
      <c r="T19" s="3"/>
      <c r="U19" s="3"/>
      <c r="V19" s="3"/>
      <c r="W19" s="3"/>
    </row>
    <row r="20">
      <c r="A20" s="5"/>
      <c r="B20" s="25"/>
      <c r="C20" s="26"/>
      <c r="D20" s="26"/>
      <c r="E20" s="26"/>
      <c r="F20" s="26"/>
      <c r="G20" s="26"/>
      <c r="H20" s="26"/>
      <c r="I20" s="27"/>
      <c r="J20" s="9"/>
      <c r="K20" s="3"/>
      <c r="L20" s="3"/>
      <c r="M20" s="3"/>
      <c r="N20" s="3"/>
      <c r="O20" s="3"/>
      <c r="P20" s="3"/>
      <c r="Q20" s="3"/>
      <c r="R20" s="3"/>
      <c r="S20" s="3"/>
      <c r="T20" s="3"/>
      <c r="U20" s="3"/>
      <c r="V20" s="3"/>
      <c r="W20" s="3"/>
    </row>
    <row r="21" ht="15.75" customHeight="1">
      <c r="A21" s="5"/>
      <c r="B21" s="25"/>
      <c r="C21" s="28" t="s">
        <v>168</v>
      </c>
      <c r="H21" s="29"/>
      <c r="I21" s="27"/>
      <c r="J21" s="9"/>
      <c r="K21" s="3"/>
      <c r="L21" s="3"/>
      <c r="M21" s="3"/>
      <c r="N21" s="3"/>
      <c r="O21" s="3"/>
      <c r="P21" s="3"/>
      <c r="Q21" s="3"/>
      <c r="R21" s="3"/>
      <c r="S21" s="3"/>
      <c r="T21" s="3"/>
      <c r="U21" s="3"/>
      <c r="V21" s="3"/>
      <c r="W21" s="3"/>
    </row>
    <row r="22" ht="15.75" customHeight="1">
      <c r="A22" s="5"/>
      <c r="B22" s="25"/>
      <c r="H22" s="29"/>
      <c r="I22" s="27"/>
      <c r="J22" s="9"/>
      <c r="K22" s="3"/>
      <c r="L22" s="3"/>
      <c r="M22" s="3"/>
      <c r="N22" s="3"/>
      <c r="O22" s="3"/>
      <c r="P22" s="3"/>
      <c r="Q22" s="3"/>
      <c r="R22" s="3"/>
      <c r="S22" s="3"/>
      <c r="T22" s="3"/>
      <c r="U22" s="3"/>
      <c r="V22" s="3"/>
      <c r="W22" s="3"/>
    </row>
    <row r="23" ht="15.75" customHeight="1">
      <c r="A23" s="5"/>
      <c r="B23" s="25"/>
      <c r="H23" s="29"/>
      <c r="I23" s="27"/>
      <c r="J23" s="9"/>
      <c r="K23" s="3"/>
      <c r="L23" s="3"/>
      <c r="M23" s="3"/>
      <c r="N23" s="3"/>
      <c r="O23" s="3"/>
      <c r="P23" s="3"/>
      <c r="Q23" s="3"/>
      <c r="R23" s="3"/>
      <c r="S23" s="3"/>
      <c r="T23" s="3"/>
      <c r="U23" s="3"/>
      <c r="V23" s="3"/>
      <c r="W23" s="3"/>
    </row>
    <row r="24" ht="15.75" customHeight="1">
      <c r="A24" s="5"/>
      <c r="B24" s="25"/>
      <c r="H24" s="29"/>
      <c r="I24" s="27"/>
      <c r="J24" s="9"/>
      <c r="K24" s="3"/>
      <c r="L24" s="3"/>
      <c r="M24" s="3"/>
      <c r="N24" s="3"/>
      <c r="O24" s="3"/>
      <c r="P24" s="3"/>
      <c r="Q24" s="3"/>
      <c r="R24" s="3"/>
      <c r="S24" s="3"/>
      <c r="T24" s="3"/>
      <c r="U24" s="3"/>
      <c r="V24" s="3"/>
      <c r="W24" s="3"/>
    </row>
    <row r="25" ht="15.75" customHeight="1">
      <c r="A25" s="5"/>
      <c r="B25" s="25"/>
      <c r="H25" s="29"/>
      <c r="I25" s="27"/>
      <c r="J25" s="9"/>
      <c r="K25" s="3"/>
      <c r="L25" s="3"/>
      <c r="M25" s="3"/>
      <c r="N25" s="3"/>
      <c r="O25" s="3"/>
      <c r="P25" s="3"/>
      <c r="Q25" s="3"/>
      <c r="R25" s="3"/>
      <c r="S25" s="3"/>
      <c r="T25" s="3"/>
      <c r="U25" s="3"/>
      <c r="V25" s="3"/>
      <c r="W25" s="3"/>
    </row>
    <row r="26" ht="15.75" customHeight="1">
      <c r="A26" s="5"/>
      <c r="B26" s="30"/>
      <c r="H26" s="29"/>
      <c r="I26" s="27"/>
      <c r="J26" s="9"/>
      <c r="K26" s="3"/>
      <c r="L26" s="3"/>
      <c r="M26" s="3"/>
      <c r="N26" s="3"/>
      <c r="O26" s="3"/>
      <c r="P26" s="3"/>
      <c r="Q26" s="3"/>
      <c r="R26" s="3"/>
      <c r="S26" s="3"/>
      <c r="T26" s="3"/>
      <c r="U26" s="3"/>
      <c r="V26" s="3"/>
      <c r="W26" s="3"/>
    </row>
    <row r="27" ht="15.75" customHeight="1">
      <c r="A27" s="5"/>
      <c r="B27" s="30"/>
      <c r="H27" s="29"/>
      <c r="I27" s="27"/>
      <c r="J27" s="9"/>
      <c r="K27" s="3"/>
      <c r="L27" s="3"/>
      <c r="M27" s="3"/>
      <c r="N27" s="3"/>
      <c r="O27" s="3"/>
      <c r="P27" s="3"/>
      <c r="Q27" s="3"/>
      <c r="R27" s="3"/>
      <c r="S27" s="3"/>
      <c r="T27" s="3"/>
      <c r="U27" s="3"/>
      <c r="V27" s="3"/>
      <c r="W27" s="3"/>
    </row>
    <row r="28" ht="15.75" customHeight="1">
      <c r="A28" s="5"/>
      <c r="B28" s="30"/>
      <c r="H28" s="29"/>
      <c r="I28" s="27"/>
      <c r="J28" s="9"/>
      <c r="K28" s="3"/>
      <c r="L28" s="3"/>
      <c r="M28" s="3"/>
      <c r="N28" s="3"/>
      <c r="O28" s="3"/>
      <c r="P28" s="3"/>
      <c r="Q28" s="3"/>
      <c r="R28" s="3"/>
      <c r="S28" s="3"/>
      <c r="T28" s="3"/>
      <c r="U28" s="3"/>
      <c r="V28" s="3"/>
      <c r="W28" s="3"/>
    </row>
    <row r="29" ht="15.75" customHeight="1">
      <c r="A29" s="5"/>
      <c r="B29" s="30"/>
      <c r="C29" s="14"/>
      <c r="D29" s="14"/>
      <c r="E29" s="14"/>
      <c r="F29" s="14"/>
      <c r="G29" s="14"/>
      <c r="H29" s="31"/>
      <c r="I29" s="27"/>
      <c r="J29" s="9"/>
      <c r="K29" s="3"/>
      <c r="L29" s="3"/>
      <c r="M29" s="3"/>
      <c r="N29" s="3"/>
      <c r="O29" s="3"/>
      <c r="P29" s="3"/>
      <c r="Q29" s="3"/>
      <c r="R29" s="3"/>
      <c r="S29" s="3"/>
      <c r="T29" s="3"/>
      <c r="U29" s="3"/>
      <c r="V29" s="3"/>
      <c r="W29" s="3"/>
    </row>
    <row r="30" ht="15.75" customHeight="1">
      <c r="A30" s="5"/>
      <c r="B30" s="30"/>
      <c r="C30" s="4"/>
      <c r="D30" s="4"/>
      <c r="E30" s="4"/>
      <c r="F30" s="4"/>
      <c r="G30" s="4"/>
      <c r="H30" s="4"/>
      <c r="I30" s="27"/>
      <c r="J30" s="9"/>
      <c r="K30" s="3"/>
      <c r="L30" s="3"/>
      <c r="M30" s="3"/>
      <c r="N30" s="3"/>
      <c r="O30" s="3"/>
      <c r="P30" s="3"/>
      <c r="Q30" s="3"/>
      <c r="R30" s="3"/>
      <c r="S30" s="3"/>
      <c r="T30" s="3"/>
      <c r="U30" s="3"/>
      <c r="V30" s="3"/>
      <c r="W30" s="3"/>
    </row>
    <row r="31" ht="15.75" customHeight="1">
      <c r="A31" s="5"/>
      <c r="B31" s="32"/>
      <c r="C31" s="33"/>
      <c r="D31" s="33"/>
      <c r="E31" s="33"/>
      <c r="F31" s="33"/>
      <c r="G31" s="33"/>
      <c r="H31" s="33"/>
      <c r="I31" s="34"/>
      <c r="J31" s="9"/>
      <c r="K31" s="3"/>
      <c r="L31" s="3"/>
      <c r="M31" s="3"/>
      <c r="N31" s="3"/>
      <c r="O31" s="3"/>
      <c r="P31" s="3"/>
      <c r="Q31" s="3"/>
      <c r="R31" s="3"/>
      <c r="S31" s="3"/>
      <c r="T31" s="3"/>
      <c r="U31" s="3"/>
      <c r="V31" s="3"/>
      <c r="W31" s="3"/>
    </row>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B19:I19"/>
    <mergeCell ref="C21:H29"/>
    <mergeCell ref="B3:I4"/>
    <mergeCell ref="B5:I7"/>
    <mergeCell ref="B8:I8"/>
    <mergeCell ref="B9:I10"/>
    <mergeCell ref="B11:I13"/>
    <mergeCell ref="B14:I17"/>
    <mergeCell ref="B18:I18"/>
  </mergeCells>
  <printOptions horizontalCentered="1"/>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2.88"/>
    <col customWidth="1" min="2" max="2" width="21.25"/>
    <col customWidth="1" min="3" max="3" width="14.75"/>
    <col customWidth="1" min="4" max="4" width="15.13"/>
    <col customWidth="1" min="5" max="5" width="16.13"/>
    <col customWidth="1" min="6" max="6" width="17.63"/>
    <col customWidth="1" min="7" max="7" width="13.5"/>
    <col customWidth="1" min="8" max="8" width="17.13"/>
    <col customWidth="1" min="9" max="9" width="15.63"/>
    <col customWidth="1" min="10" max="10" width="9.38"/>
    <col customWidth="1" min="11" max="11" width="20.38"/>
    <col customWidth="1" min="12" max="12" width="10.88"/>
    <col customWidth="1" min="13" max="26" width="9.38"/>
  </cols>
  <sheetData>
    <row r="1" ht="48.0" customHeight="1">
      <c r="A1" s="35" t="s">
        <v>169</v>
      </c>
      <c r="B1" s="36"/>
      <c r="C1" s="36"/>
      <c r="D1" s="36"/>
      <c r="E1" s="36"/>
      <c r="F1" s="36"/>
      <c r="G1" s="37"/>
      <c r="H1" s="38"/>
      <c r="I1" s="38"/>
      <c r="J1" s="38"/>
      <c r="K1" s="38"/>
      <c r="L1" s="38"/>
      <c r="M1" s="38"/>
      <c r="N1" s="38"/>
      <c r="O1" s="39"/>
      <c r="P1" s="39"/>
      <c r="Q1" s="39"/>
      <c r="R1" s="39"/>
      <c r="S1" s="39"/>
      <c r="T1" s="39"/>
      <c r="U1" s="39"/>
      <c r="V1" s="39"/>
      <c r="W1" s="39"/>
      <c r="X1" s="39"/>
      <c r="Y1" s="39"/>
      <c r="Z1" s="39"/>
    </row>
    <row r="2" ht="14.25" customHeight="1"/>
    <row r="3">
      <c r="A3" s="40" t="s">
        <v>0</v>
      </c>
      <c r="B3" s="40" t="s">
        <v>170</v>
      </c>
      <c r="C3" s="40" t="s">
        <v>3</v>
      </c>
      <c r="D3" s="40" t="s">
        <v>4</v>
      </c>
      <c r="E3" s="40" t="s">
        <v>5</v>
      </c>
      <c r="F3" s="40" t="s">
        <v>6</v>
      </c>
      <c r="G3" s="40" t="s">
        <v>7</v>
      </c>
      <c r="H3" s="41"/>
      <c r="I3" s="42"/>
      <c r="J3" s="42"/>
      <c r="K3" s="42"/>
      <c r="L3" s="42"/>
      <c r="M3" s="42"/>
      <c r="N3" s="42"/>
      <c r="O3" s="41"/>
      <c r="P3" s="41"/>
      <c r="Q3" s="41"/>
      <c r="R3" s="41"/>
      <c r="S3" s="41"/>
      <c r="T3" s="41"/>
      <c r="U3" s="41"/>
      <c r="V3" s="41"/>
      <c r="W3" s="41"/>
      <c r="X3" s="41"/>
      <c r="Y3" s="41"/>
      <c r="Z3" s="41"/>
    </row>
    <row r="4" ht="14.25" customHeight="1">
      <c r="A4" s="43" t="s">
        <v>8</v>
      </c>
      <c r="B4" s="2" t="s">
        <v>146</v>
      </c>
      <c r="C4" s="2">
        <f>187.23+34.73+27.3+131.92+3.74</f>
        <v>384.92</v>
      </c>
      <c r="D4" s="2">
        <f>0.03+0.06+0.09+0.62+0.32</f>
        <v>1.12</v>
      </c>
      <c r="E4" s="2">
        <f>2420+1040+608.6+2620+75.84</f>
        <v>6764.44</v>
      </c>
      <c r="F4" s="2">
        <f>1.38+0.36+0.34+2.41+0.1</f>
        <v>4.59</v>
      </c>
      <c r="G4" s="2">
        <f>0.01+0.04</f>
        <v>0.05</v>
      </c>
      <c r="I4" s="44"/>
      <c r="J4" s="44"/>
      <c r="K4" s="44"/>
      <c r="L4" s="44"/>
      <c r="M4" s="44"/>
      <c r="N4" s="44"/>
    </row>
    <row r="5" ht="14.25" customHeight="1">
      <c r="B5" s="2" t="s">
        <v>171</v>
      </c>
      <c r="C5" s="2">
        <f>27.99+10.35</f>
        <v>38.34</v>
      </c>
      <c r="D5" s="2">
        <f>0.06+0.03</f>
        <v>0.09</v>
      </c>
      <c r="E5" s="2">
        <f>630+275.06</f>
        <v>905.06</v>
      </c>
      <c r="F5" s="2">
        <f>0.4+0.2</f>
        <v>0.6</v>
      </c>
      <c r="G5" s="2">
        <v>0.0</v>
      </c>
      <c r="I5" s="44"/>
      <c r="J5" s="44"/>
      <c r="K5" s="44"/>
      <c r="L5" s="44"/>
      <c r="M5" s="44"/>
      <c r="N5" s="44"/>
    </row>
    <row r="6" ht="14.25" customHeight="1">
      <c r="B6" s="2" t="s">
        <v>16</v>
      </c>
      <c r="C6" s="2">
        <f>32.46</f>
        <v>32.46</v>
      </c>
      <c r="D6" s="2">
        <v>0.43</v>
      </c>
      <c r="E6" s="2">
        <f>850.15</f>
        <v>850.15</v>
      </c>
      <c r="F6" s="2">
        <f>4.28</f>
        <v>4.28</v>
      </c>
      <c r="G6" s="2">
        <v>0.38</v>
      </c>
      <c r="I6" s="44"/>
      <c r="J6" s="44"/>
      <c r="K6" s="44"/>
      <c r="L6" s="44"/>
      <c r="M6" s="44"/>
      <c r="N6" s="44"/>
    </row>
    <row r="7" ht="14.25" customHeight="1">
      <c r="B7" s="2" t="s">
        <v>18</v>
      </c>
      <c r="C7" s="2">
        <f>8.8+5.42+3.71+3.68+1.72+0.09+0.32</f>
        <v>23.74</v>
      </c>
      <c r="D7" s="2">
        <f>0.02+0.01+0.01+0.02</f>
        <v>0.06</v>
      </c>
      <c r="E7" s="2">
        <f>142.68+87.95+58.8+52.24+27.28+1.44+5.26</f>
        <v>375.65</v>
      </c>
      <c r="F7" s="2">
        <f>0.02+0.01+0.01+0.01</f>
        <v>0.05</v>
      </c>
      <c r="G7" s="2">
        <v>0.0</v>
      </c>
      <c r="I7" s="44"/>
      <c r="J7" s="44"/>
      <c r="K7" s="44"/>
      <c r="L7" s="44"/>
      <c r="M7" s="44"/>
      <c r="N7" s="44"/>
    </row>
    <row r="8" ht="14.25" customHeight="1">
      <c r="B8" s="2" t="s">
        <v>172</v>
      </c>
      <c r="C8" s="2">
        <v>49.26</v>
      </c>
      <c r="D8" s="2">
        <v>0.0</v>
      </c>
      <c r="E8" s="2">
        <f>'End of Life'!F11</f>
        <v>22.93</v>
      </c>
      <c r="F8" s="2">
        <f>'End of Life'!G11</f>
        <v>0.02</v>
      </c>
      <c r="G8" s="2">
        <f>'End of Life'!H11</f>
        <v>0.06</v>
      </c>
      <c r="I8" s="44"/>
      <c r="J8" s="44"/>
      <c r="K8" s="44"/>
      <c r="L8" s="44"/>
      <c r="M8" s="44"/>
      <c r="N8" s="44"/>
    </row>
    <row r="9" ht="14.25" customHeight="1">
      <c r="A9" s="45" t="s">
        <v>173</v>
      </c>
      <c r="B9" s="46"/>
      <c r="C9" s="46">
        <f t="shared" ref="C9:G9" si="1">SUM(C4:C8)</f>
        <v>528.72</v>
      </c>
      <c r="D9" s="46">
        <f t="shared" si="1"/>
        <v>1.7</v>
      </c>
      <c r="E9" s="46">
        <f t="shared" si="1"/>
        <v>8918.23</v>
      </c>
      <c r="F9" s="46">
        <f t="shared" si="1"/>
        <v>9.54</v>
      </c>
      <c r="G9" s="46">
        <f t="shared" si="1"/>
        <v>0.49</v>
      </c>
      <c r="I9" s="44"/>
      <c r="J9" s="44"/>
      <c r="K9" s="44"/>
      <c r="L9" s="44"/>
      <c r="M9" s="44"/>
      <c r="N9" s="44"/>
    </row>
    <row r="10" ht="14.25" customHeight="1">
      <c r="A10" s="43" t="s">
        <v>19</v>
      </c>
      <c r="B10" s="2" t="s">
        <v>146</v>
      </c>
      <c r="C10" s="2">
        <f>210.81+39.17+30.79+148.74+4.17+13.25</f>
        <v>446.93</v>
      </c>
      <c r="D10" s="2">
        <f>0.03+0.07+0.1+0.69+0.35+0.02</f>
        <v>1.26</v>
      </c>
      <c r="E10" s="2">
        <f>2730+1170+686.48+2950+84.61+395.84</f>
        <v>8016.93</v>
      </c>
      <c r="F10" s="2">
        <f>1.56+0.41+0.38+2.72+0.11+0.14</f>
        <v>5.32</v>
      </c>
      <c r="G10" s="2">
        <f>0.01+0.04</f>
        <v>0.05</v>
      </c>
      <c r="I10" s="44"/>
      <c r="J10" s="44"/>
      <c r="K10" s="44"/>
      <c r="L10" s="44"/>
      <c r="M10" s="44"/>
      <c r="N10" s="44"/>
    </row>
    <row r="11" ht="14.25" customHeight="1">
      <c r="B11" s="2" t="s">
        <v>171</v>
      </c>
      <c r="C11" s="2">
        <f>35.23+14.5</f>
        <v>49.73</v>
      </c>
      <c r="D11" s="2">
        <f>0.09+0.04</f>
        <v>0.13</v>
      </c>
      <c r="E11" s="2">
        <f>704.9+385.09</f>
        <v>1089.99</v>
      </c>
      <c r="F11" s="2">
        <f>0.44+0.28</f>
        <v>0.72</v>
      </c>
      <c r="G11" s="2">
        <v>0.0</v>
      </c>
      <c r="I11" s="44"/>
      <c r="J11" s="44"/>
      <c r="K11" s="44"/>
      <c r="L11" s="44"/>
      <c r="M11" s="44"/>
      <c r="N11" s="44"/>
    </row>
    <row r="12" ht="14.25" customHeight="1">
      <c r="B12" s="2" t="s">
        <v>16</v>
      </c>
      <c r="C12" s="2">
        <v>45.44</v>
      </c>
      <c r="D12" s="2">
        <v>0.6</v>
      </c>
      <c r="E12" s="2">
        <v>1190.0</v>
      </c>
      <c r="F12" s="2">
        <f>5.99</f>
        <v>5.99</v>
      </c>
      <c r="G12" s="2">
        <f>0.54</f>
        <v>0.54</v>
      </c>
      <c r="I12" s="44"/>
      <c r="J12" s="44"/>
      <c r="K12" s="44"/>
      <c r="L12" s="44"/>
      <c r="M12" s="44"/>
      <c r="N12" s="44"/>
    </row>
    <row r="13" ht="14.25" customHeight="1">
      <c r="B13" s="2" t="s">
        <v>18</v>
      </c>
      <c r="C13" s="2">
        <f>9.91+6.12+4.18+4.15+1.94+0.44</f>
        <v>26.74</v>
      </c>
      <c r="D13" s="2">
        <f>0.03+0.02+0.01+0.02+0.01</f>
        <v>0.09</v>
      </c>
      <c r="E13" s="2">
        <f>160.65+99.2+66.33+58.9+30.74+1.61+7.36</f>
        <v>424.79</v>
      </c>
      <c r="F13" s="2">
        <f>0.02+0.01+0.01+0.01</f>
        <v>0.05</v>
      </c>
      <c r="G13" s="2">
        <v>0.0</v>
      </c>
      <c r="I13" s="44"/>
      <c r="J13" s="44"/>
      <c r="K13" s="44"/>
      <c r="L13" s="44"/>
      <c r="M13" s="44"/>
      <c r="N13" s="44"/>
    </row>
    <row r="14" ht="14.25" customHeight="1">
      <c r="B14" s="2" t="s">
        <v>172</v>
      </c>
      <c r="C14" s="2">
        <f>'End of Life'!D23</f>
        <v>56.8</v>
      </c>
      <c r="D14" s="2">
        <f>'End of Life'!E23</f>
        <v>0</v>
      </c>
      <c r="E14" s="2">
        <f>'End of Life'!F23</f>
        <v>26.45</v>
      </c>
      <c r="F14" s="2">
        <f>'End of Life'!G23</f>
        <v>0.02</v>
      </c>
      <c r="G14" s="2">
        <f>'End of Life'!H23</f>
        <v>0.07</v>
      </c>
      <c r="I14" s="44"/>
      <c r="J14" s="44"/>
      <c r="K14" s="44"/>
      <c r="L14" s="44"/>
      <c r="M14" s="44"/>
      <c r="N14" s="44"/>
    </row>
    <row r="15" ht="14.25" customHeight="1">
      <c r="A15" s="45" t="s">
        <v>173</v>
      </c>
      <c r="B15" s="46"/>
      <c r="C15" s="46">
        <f t="shared" ref="C15:G15" si="2">SUM(C10:C14)</f>
        <v>625.64</v>
      </c>
      <c r="D15" s="46">
        <f t="shared" si="2"/>
        <v>2.08</v>
      </c>
      <c r="E15" s="46">
        <f t="shared" si="2"/>
        <v>10748.16</v>
      </c>
      <c r="F15" s="46">
        <f t="shared" si="2"/>
        <v>12.1</v>
      </c>
      <c r="G15" s="46">
        <f t="shared" si="2"/>
        <v>0.66</v>
      </c>
      <c r="I15" s="44"/>
      <c r="J15" s="44"/>
      <c r="K15" s="44"/>
      <c r="L15" s="44"/>
      <c r="M15" s="44"/>
      <c r="N15" s="44"/>
    </row>
    <row r="16" ht="14.25" customHeight="1">
      <c r="A16" s="43" t="s">
        <v>174</v>
      </c>
      <c r="B16" s="2" t="s">
        <v>146</v>
      </c>
      <c r="C16" s="2">
        <f>1730+90.3</f>
        <v>1820.3</v>
      </c>
      <c r="D16" s="2">
        <f>2.03+0.31</f>
        <v>2.34</v>
      </c>
      <c r="E16" s="2">
        <f>42100+1830</f>
        <v>43930</v>
      </c>
      <c r="F16" s="2">
        <f>11.04+1.19</f>
        <v>12.23</v>
      </c>
      <c r="G16" s="2">
        <f>0.2</f>
        <v>0.2</v>
      </c>
      <c r="I16" s="44"/>
      <c r="J16" s="44"/>
      <c r="K16" s="44"/>
      <c r="L16" s="44"/>
      <c r="M16" s="44"/>
      <c r="N16" s="44"/>
    </row>
    <row r="17" ht="14.25" customHeight="1">
      <c r="B17" s="2" t="s">
        <v>171</v>
      </c>
      <c r="C17" s="2">
        <f>5.18</f>
        <v>5.18</v>
      </c>
      <c r="D17" s="2">
        <v>0.01</v>
      </c>
      <c r="E17" s="2">
        <f>137.53</f>
        <v>137.53</v>
      </c>
      <c r="F17" s="2">
        <f>0.1</f>
        <v>0.1</v>
      </c>
      <c r="G17" s="2">
        <v>0.0</v>
      </c>
      <c r="I17" s="44"/>
      <c r="J17" s="44"/>
      <c r="K17" s="44"/>
      <c r="L17" s="44"/>
      <c r="M17" s="44"/>
      <c r="N17" s="44"/>
    </row>
    <row r="18" ht="14.25" customHeight="1">
      <c r="B18" s="2" t="s">
        <v>16</v>
      </c>
      <c r="C18" s="2">
        <f>0.14+16.23</f>
        <v>16.37</v>
      </c>
      <c r="D18" s="2">
        <v>0.21</v>
      </c>
      <c r="E18" s="2">
        <f>2.19+425.08</f>
        <v>427.27</v>
      </c>
      <c r="F18" s="2">
        <v>2.14</v>
      </c>
      <c r="G18" s="2">
        <v>0.19</v>
      </c>
      <c r="I18" s="44"/>
      <c r="J18" s="44"/>
      <c r="K18" s="44"/>
      <c r="L18" s="44"/>
      <c r="M18" s="44"/>
      <c r="N18" s="44"/>
    </row>
    <row r="19" ht="14.25" customHeight="1">
      <c r="B19" s="2" t="s">
        <v>18</v>
      </c>
      <c r="C19" s="2">
        <f>1.41+0.94+0.01+0.16</f>
        <v>2.52</v>
      </c>
      <c r="D19" s="2">
        <v>0.0</v>
      </c>
      <c r="E19" s="2">
        <f>23.46+15.65+0.09+2.63</f>
        <v>41.83</v>
      </c>
      <c r="F19" s="2">
        <v>0.0</v>
      </c>
      <c r="G19" s="2">
        <v>0.0</v>
      </c>
      <c r="I19" s="44"/>
      <c r="J19" s="44"/>
      <c r="K19" s="44"/>
      <c r="L19" s="44"/>
      <c r="M19" s="44"/>
      <c r="N19" s="44"/>
    </row>
    <row r="20" ht="14.25" customHeight="1">
      <c r="B20" s="2" t="s">
        <v>172</v>
      </c>
      <c r="C20" s="2">
        <f>'End of Life'!D32</f>
        <v>37.86</v>
      </c>
      <c r="D20" s="2">
        <f>'End of Life'!E32</f>
        <v>0</v>
      </c>
      <c r="E20" s="2">
        <f>'End of Life'!F32</f>
        <v>18.37</v>
      </c>
      <c r="F20" s="2">
        <f>'End of Life'!G32</f>
        <v>0.02</v>
      </c>
      <c r="G20" s="2">
        <f>'End of Life'!H32</f>
        <v>0.04</v>
      </c>
      <c r="I20" s="44"/>
      <c r="J20" s="44"/>
      <c r="K20" s="44"/>
      <c r="L20" s="44"/>
      <c r="M20" s="44"/>
      <c r="N20" s="44"/>
    </row>
    <row r="21" ht="14.25" customHeight="1">
      <c r="A21" s="45" t="s">
        <v>173</v>
      </c>
      <c r="B21" s="46"/>
      <c r="C21" s="46">
        <f t="shared" ref="C21:G21" si="3">SUM(C16:C20)</f>
        <v>1882.23</v>
      </c>
      <c r="D21" s="46">
        <f t="shared" si="3"/>
        <v>2.56</v>
      </c>
      <c r="E21" s="46">
        <f t="shared" si="3"/>
        <v>44555</v>
      </c>
      <c r="F21" s="46">
        <f t="shared" si="3"/>
        <v>14.49</v>
      </c>
      <c r="G21" s="46">
        <f t="shared" si="3"/>
        <v>0.43</v>
      </c>
      <c r="I21" s="44"/>
      <c r="J21" s="44"/>
      <c r="K21" s="44"/>
      <c r="L21" s="44"/>
      <c r="M21" s="44"/>
      <c r="N21" s="44"/>
    </row>
    <row r="22" ht="14.25" customHeight="1">
      <c r="A22" s="43" t="s">
        <v>175</v>
      </c>
      <c r="B22" s="2" t="s">
        <v>146</v>
      </c>
      <c r="C22" s="2">
        <f>1260+942+86.68+30.38+9.63+49.63+43+1100+67.42+26.49+27.01</f>
        <v>3642.24</v>
      </c>
      <c r="D22" s="2">
        <f>1.6+1.34+0.3+0.12+0.03+1.07+0.01+1.4+0.23+0.09+0.11</f>
        <v>6.3</v>
      </c>
      <c r="E22" s="2">
        <f>32440+26360+1760+589.26+195.56+1350+863.24+28390+1370+537.79+523.78</f>
        <v>94379.63</v>
      </c>
      <c r="F22" s="2">
        <f>9.28+8.36+1.14+0.37+0.13+0.74+0.47+8.12+0.89+0.35+0.33</f>
        <v>30.18</v>
      </c>
      <c r="G22" s="2">
        <f>0.17+0.16+0.15</f>
        <v>0.48</v>
      </c>
    </row>
    <row r="23" ht="14.25" customHeight="1">
      <c r="B23" s="2" t="s">
        <v>171</v>
      </c>
      <c r="C23" s="2">
        <f>30.25</f>
        <v>30.25</v>
      </c>
      <c r="D23" s="2">
        <f>0.39</f>
        <v>0.39</v>
      </c>
      <c r="E23" s="2">
        <f>4457.92</f>
        <v>4457.92</v>
      </c>
      <c r="F23" s="2">
        <v>1.21</v>
      </c>
      <c r="G23" s="2">
        <f t="shared" ref="G23:G24" si="4">0.01</f>
        <v>0.01</v>
      </c>
    </row>
    <row r="24" ht="14.25" customHeight="1">
      <c r="B24" s="2" t="s">
        <v>16</v>
      </c>
      <c r="C24" s="2">
        <f>101.27+0.27</f>
        <v>101.54</v>
      </c>
      <c r="D24" s="2">
        <f>0.29</f>
        <v>0.29</v>
      </c>
      <c r="E24" s="2">
        <f>2120+4.39</f>
        <v>2124.39</v>
      </c>
      <c r="F24" s="2">
        <v>1.52</v>
      </c>
      <c r="G24" s="2">
        <f t="shared" si="4"/>
        <v>0.01</v>
      </c>
    </row>
    <row r="25" ht="14.25" customHeight="1">
      <c r="B25" s="2" t="s">
        <v>18</v>
      </c>
      <c r="C25" s="2">
        <f>3.6+3.3+2.7+1.35+0.24+1.14+0.09+2.52+1.68+0.66+0.9</f>
        <v>18.18</v>
      </c>
      <c r="D25" s="2">
        <f>0.01+0.01+0.01+0.01</f>
        <v>0.04</v>
      </c>
      <c r="E25" s="2">
        <f>60.08+55.07+45.06+22.53+4.01+19.03+1.51+42.06+28.04+11.01+14.95</f>
        <v>303.35</v>
      </c>
      <c r="F25" s="2">
        <f>0.01+0.01+0.01</f>
        <v>0.03</v>
      </c>
      <c r="G25" s="2">
        <v>0.0</v>
      </c>
    </row>
    <row r="26" ht="14.25" customHeight="1">
      <c r="B26" s="2" t="s">
        <v>172</v>
      </c>
      <c r="C26" s="2">
        <f>'End of Life'!D46+'End of Life'!D52</f>
        <v>162.19</v>
      </c>
      <c r="D26" s="2">
        <f>'End of Life'!E46+'End of Life'!E52</f>
        <v>0.01</v>
      </c>
      <c r="E26" s="2">
        <f>'End of Life'!F46+'End of Life'!F52</f>
        <v>32.92</v>
      </c>
      <c r="F26" s="2">
        <f>'End of Life'!G46+'End of Life'!G52</f>
        <v>0.23</v>
      </c>
      <c r="G26" s="2">
        <f>'End of Life'!H46+'End of Life'!H52</f>
        <v>0</v>
      </c>
    </row>
    <row r="27" ht="14.25" customHeight="1">
      <c r="A27" s="45" t="s">
        <v>173</v>
      </c>
      <c r="B27" s="46"/>
      <c r="C27" s="46">
        <f t="shared" ref="C27:G27" si="5">SUM(C22:C26)</f>
        <v>3954.4</v>
      </c>
      <c r="D27" s="46">
        <f t="shared" si="5"/>
        <v>7.03</v>
      </c>
      <c r="E27" s="46">
        <f t="shared" si="5"/>
        <v>101298.21</v>
      </c>
      <c r="F27" s="46">
        <f t="shared" si="5"/>
        <v>33.17</v>
      </c>
      <c r="G27" s="46">
        <f t="shared" si="5"/>
        <v>0.5</v>
      </c>
    </row>
    <row r="28" ht="14.25" customHeight="1">
      <c r="A28" s="43" t="s">
        <v>37</v>
      </c>
      <c r="B28" s="2" t="s">
        <v>146</v>
      </c>
      <c r="C28" s="2">
        <f>396.36</f>
        <v>396.36</v>
      </c>
      <c r="D28" s="2">
        <v>18.73</v>
      </c>
      <c r="E28" s="2">
        <v>6640.0</v>
      </c>
      <c r="F28" s="2">
        <v>5.73</v>
      </c>
      <c r="G28" s="2">
        <v>0.05</v>
      </c>
    </row>
    <row r="29" ht="14.25" customHeight="1">
      <c r="B29" s="2" t="s">
        <v>171</v>
      </c>
      <c r="C29" s="2">
        <v>20.71</v>
      </c>
      <c r="D29" s="2">
        <v>0.05</v>
      </c>
      <c r="E29" s="2">
        <v>550.12</v>
      </c>
      <c r="F29" s="2">
        <v>0.4</v>
      </c>
      <c r="G29" s="2">
        <v>0.0</v>
      </c>
    </row>
    <row r="30" ht="14.25" customHeight="1">
      <c r="B30" s="2" t="s">
        <v>16</v>
      </c>
      <c r="C30" s="2">
        <v>64.92</v>
      </c>
      <c r="D30" s="2">
        <v>0.86</v>
      </c>
      <c r="E30" s="2">
        <v>1700.0</v>
      </c>
      <c r="F30" s="2">
        <v>8.56</v>
      </c>
      <c r="G30" s="2">
        <v>0.76</v>
      </c>
    </row>
    <row r="31" ht="14.25" customHeight="1">
      <c r="B31" s="2" t="s">
        <v>18</v>
      </c>
      <c r="C31" s="2">
        <v>0.63</v>
      </c>
      <c r="D31" s="2">
        <v>0.0</v>
      </c>
      <c r="E31" s="2">
        <v>10.51</v>
      </c>
      <c r="F31" s="2">
        <v>0.0</v>
      </c>
      <c r="G31" s="2">
        <v>0.0</v>
      </c>
    </row>
    <row r="32" ht="14.25" customHeight="1">
      <c r="B32" s="2" t="s">
        <v>172</v>
      </c>
      <c r="C32" s="2">
        <f>'End of Life'!D57</f>
        <v>57.44</v>
      </c>
      <c r="D32" s="2">
        <f>'End of Life'!E57</f>
        <v>0.01</v>
      </c>
      <c r="E32" s="2">
        <f>'End of Life'!F57</f>
        <v>29.69</v>
      </c>
      <c r="F32" s="2">
        <f>'End of Life'!G57</f>
        <v>0.04</v>
      </c>
      <c r="G32" s="2">
        <f>'End of Life'!H57</f>
        <v>0.05</v>
      </c>
    </row>
    <row r="33" ht="14.25" customHeight="1">
      <c r="A33" s="45" t="s">
        <v>173</v>
      </c>
      <c r="B33" s="46"/>
      <c r="C33" s="46">
        <f t="shared" ref="C33:G33" si="6">SUM(C28:C32)</f>
        <v>540.06</v>
      </c>
      <c r="D33" s="46">
        <f t="shared" si="6"/>
        <v>19.65</v>
      </c>
      <c r="E33" s="46">
        <f t="shared" si="6"/>
        <v>8930.32</v>
      </c>
      <c r="F33" s="46">
        <f t="shared" si="6"/>
        <v>14.73</v>
      </c>
      <c r="G33" s="46">
        <f t="shared" si="6"/>
        <v>0.86</v>
      </c>
    </row>
    <row r="34" ht="14.25" customHeight="1">
      <c r="A34" s="43" t="s">
        <v>40</v>
      </c>
      <c r="B34" s="2" t="s">
        <v>146</v>
      </c>
      <c r="C34" s="2">
        <f>221.71+1330+137.02+57.79+1.96+4.33+1.35+8.27</f>
        <v>1762.43</v>
      </c>
      <c r="D34" s="2">
        <f>0.82+1.89+0.2+0.2+0.01+0.01+0.01+0.18</f>
        <v>3.32</v>
      </c>
      <c r="E34" s="2">
        <f>224.24+26.19+88+48.67+1170+3830+37140+9660</f>
        <v>52187.1</v>
      </c>
      <c r="F34" s="2">
        <f>2.71+11.79+1.22+0.76+0.03+0.06+0.02+0.12</f>
        <v>16.71</v>
      </c>
      <c r="G34" s="2">
        <f>0.02+0.22+0.01</f>
        <v>0.25</v>
      </c>
    </row>
    <row r="35" ht="14.25" customHeight="1">
      <c r="B35" s="2" t="s">
        <v>171</v>
      </c>
      <c r="C35" s="2">
        <f>2.2+3.87+105.88+73.4</f>
        <v>185.35</v>
      </c>
      <c r="D35" s="2">
        <f>0.01+0.01+0.24+0.31</f>
        <v>0.57</v>
      </c>
      <c r="E35" s="2">
        <f>3220+117.98+3360+100.74</f>
        <v>6798.72</v>
      </c>
      <c r="F35" s="2">
        <f>0.07+0.02+0.52+2.19</f>
        <v>2.8</v>
      </c>
      <c r="G35" s="2">
        <v>0.0</v>
      </c>
    </row>
    <row r="36" ht="14.25" customHeight="1">
      <c r="B36" s="2" t="s">
        <v>16</v>
      </c>
      <c r="C36" s="2">
        <f>9.74+18.86+419.01+324.59</f>
        <v>772.2</v>
      </c>
      <c r="D36" s="2">
        <f>4.3+1.04+0.06+0.13</f>
        <v>5.53</v>
      </c>
      <c r="E36" s="2">
        <f>255.05+500.44+9960+8500</f>
        <v>19215.49</v>
      </c>
      <c r="F36" s="2">
        <f>42.76+7.2+0.32+1.28</f>
        <v>51.56</v>
      </c>
      <c r="G36" s="2">
        <f>3.82+0.03+0.11</f>
        <v>3.96</v>
      </c>
    </row>
    <row r="37" ht="14.25" customHeight="1">
      <c r="B37" s="2" t="s">
        <v>18</v>
      </c>
      <c r="C37" s="2">
        <f>2+3.21+0.33+1.24+0.01+1.24</f>
        <v>8.03</v>
      </c>
      <c r="D37" s="2">
        <f>0.01+0.01</f>
        <v>0.02</v>
      </c>
      <c r="E37" s="2">
        <f>33.38+43.67+4.51+16.91+0.04+0.05+0.02+0.17+16.91</f>
        <v>115.66</v>
      </c>
      <c r="F37" s="2">
        <v>0.0</v>
      </c>
      <c r="G37" s="2">
        <f>0</f>
        <v>0</v>
      </c>
    </row>
    <row r="38" ht="14.25" customHeight="1">
      <c r="B38" s="2" t="s">
        <v>172</v>
      </c>
      <c r="C38" s="2">
        <f>'End of Life'!D64+'End of Life'!D79</f>
        <v>135.01</v>
      </c>
      <c r="D38" s="2">
        <f>'End of Life'!E64+'End of Life'!E79</f>
        <v>0.02</v>
      </c>
      <c r="E38" s="2">
        <f>'End of Life'!F64+'End of Life'!F79</f>
        <v>155.1</v>
      </c>
      <c r="F38" s="2">
        <f>'End of Life'!G64+'End of Life'!G79</f>
        <v>0.15</v>
      </c>
      <c r="G38" s="2">
        <f>'End of Life'!H64+'End of Life'!H79</f>
        <v>0.23</v>
      </c>
    </row>
    <row r="39" ht="14.25" customHeight="1">
      <c r="A39" s="45" t="s">
        <v>173</v>
      </c>
      <c r="B39" s="46"/>
      <c r="C39" s="46">
        <f t="shared" ref="C39:G39" si="7">SUM(C34:C38)</f>
        <v>2863.02</v>
      </c>
      <c r="D39" s="46">
        <f t="shared" si="7"/>
        <v>9.46</v>
      </c>
      <c r="E39" s="46">
        <f t="shared" si="7"/>
        <v>78472.07</v>
      </c>
      <c r="F39" s="46">
        <f t="shared" si="7"/>
        <v>71.22</v>
      </c>
      <c r="G39" s="46">
        <f t="shared" si="7"/>
        <v>4.44</v>
      </c>
    </row>
    <row r="40" ht="15.75" customHeight="1">
      <c r="A40" s="43" t="s">
        <v>176</v>
      </c>
      <c r="B40" s="2" t="s">
        <v>18</v>
      </c>
      <c r="C40" s="2">
        <v>919.22</v>
      </c>
      <c r="D40" s="2">
        <v>0.33</v>
      </c>
      <c r="E40" s="2">
        <v>15390.21</v>
      </c>
      <c r="F40" s="2">
        <v>0.39</v>
      </c>
      <c r="G40" s="2">
        <v>0.0</v>
      </c>
    </row>
    <row r="41" ht="14.25" customHeight="1">
      <c r="A41" s="45" t="s">
        <v>173</v>
      </c>
      <c r="B41" s="46"/>
      <c r="C41" s="46">
        <f t="shared" ref="C41:G41" si="8">C40</f>
        <v>919.22</v>
      </c>
      <c r="D41" s="46">
        <f t="shared" si="8"/>
        <v>0.33</v>
      </c>
      <c r="E41" s="46">
        <f t="shared" si="8"/>
        <v>15390.21</v>
      </c>
      <c r="F41" s="46">
        <f t="shared" si="8"/>
        <v>0.39</v>
      </c>
      <c r="G41" s="46">
        <f t="shared" si="8"/>
        <v>0</v>
      </c>
    </row>
    <row r="42" ht="14.25" customHeight="1">
      <c r="A42" s="43" t="s">
        <v>177</v>
      </c>
      <c r="B42" s="2" t="s">
        <v>146</v>
      </c>
      <c r="C42" s="2">
        <f>57.53+10.34+9.14</f>
        <v>77.01</v>
      </c>
      <c r="D42" s="2">
        <f>6.8+0.12+0.99</f>
        <v>7.91</v>
      </c>
      <c r="E42" s="2">
        <f>836.41+116.05+125.6</f>
        <v>1078.06</v>
      </c>
      <c r="F42" s="2">
        <f>0.53+0.06+0.04</f>
        <v>0.63</v>
      </c>
      <c r="G42" s="2">
        <v>0.0</v>
      </c>
    </row>
    <row r="43" ht="14.25" customHeight="1">
      <c r="B43" s="2" t="s">
        <v>171</v>
      </c>
      <c r="C43" s="2">
        <v>2.2</v>
      </c>
      <c r="D43" s="2">
        <v>0.01</v>
      </c>
      <c r="E43" s="2">
        <v>100.74</v>
      </c>
      <c r="F43" s="2">
        <v>0.07</v>
      </c>
      <c r="G43" s="2">
        <v>0.0</v>
      </c>
    </row>
    <row r="44" ht="14.25" customHeight="1">
      <c r="B44" s="2" t="s">
        <v>16</v>
      </c>
      <c r="C44" s="2">
        <v>0.0</v>
      </c>
      <c r="D44" s="2">
        <v>0.0</v>
      </c>
      <c r="E44" s="2">
        <v>0.0</v>
      </c>
      <c r="F44" s="2">
        <v>0.0</v>
      </c>
      <c r="G44" s="2">
        <v>0.0</v>
      </c>
    </row>
    <row r="45" ht="14.25" customHeight="1">
      <c r="B45" s="2" t="s">
        <v>18</v>
      </c>
      <c r="C45" s="2">
        <f>0.01+0.01</f>
        <v>0.02</v>
      </c>
      <c r="D45" s="2">
        <v>0.0</v>
      </c>
      <c r="E45" s="2">
        <f>0.17+0.04+0.17</f>
        <v>0.38</v>
      </c>
      <c r="F45" s="2">
        <v>0.0</v>
      </c>
      <c r="G45" s="2">
        <v>0.0</v>
      </c>
    </row>
    <row r="46" ht="14.25" customHeight="1">
      <c r="B46" s="2" t="s">
        <v>172</v>
      </c>
      <c r="C46" s="2">
        <v>0.0</v>
      </c>
      <c r="D46" s="2">
        <v>0.0</v>
      </c>
      <c r="E46" s="2">
        <v>0.0</v>
      </c>
      <c r="F46" s="2">
        <v>0.0</v>
      </c>
      <c r="G46" s="2">
        <v>0.0</v>
      </c>
    </row>
    <row r="47" ht="14.25" customHeight="1">
      <c r="A47" s="45" t="s">
        <v>173</v>
      </c>
      <c r="B47" s="46"/>
      <c r="C47" s="46">
        <f t="shared" ref="C47:G47" si="9">SUM(C42:C46)</f>
        <v>79.23</v>
      </c>
      <c r="D47" s="46">
        <f t="shared" si="9"/>
        <v>7.92</v>
      </c>
      <c r="E47" s="46">
        <f t="shared" si="9"/>
        <v>1179.18</v>
      </c>
      <c r="F47" s="46">
        <f t="shared" si="9"/>
        <v>0.7</v>
      </c>
      <c r="G47" s="46">
        <f t="shared" si="9"/>
        <v>0</v>
      </c>
    </row>
    <row r="48" ht="14.25" customHeight="1">
      <c r="A48" s="43" t="s">
        <v>56</v>
      </c>
      <c r="B48" s="2" t="s">
        <v>146</v>
      </c>
      <c r="C48" s="2">
        <f>112.14+69.28+6.23+17.92+2830+216.71+1.14+441.1+ 205.53+24.08</f>
        <v>3924.13</v>
      </c>
      <c r="D48" s="2">
        <f>0.08+0.29+0.56+0.74+4.02+0.05+0.05+0.3+0.02</f>
        <v>6.11</v>
      </c>
      <c r="E48" s="2">
        <f>2540+5570+94.5+329.88+79070+4400+11360+5750+488.9</f>
        <v>109603.28</v>
      </c>
      <c r="F48" s="2">
        <f>0.32+1.82+3.25+2.85+25.09+0.28+0.05+2.14+1.5</f>
        <v>37.3</v>
      </c>
      <c r="G48" s="2">
        <f>0.47+0.01+0.06+0.03</f>
        <v>0.57</v>
      </c>
    </row>
    <row r="49" ht="14.25" customHeight="1">
      <c r="B49" s="2" t="s">
        <v>171</v>
      </c>
      <c r="C49" s="2">
        <f>225.94+25.2+170.53+46.81+18.2</f>
        <v>486.68</v>
      </c>
      <c r="D49" s="2">
        <f>0.23+0.15+0.64+0.08+0.84</f>
        <v>1.94</v>
      </c>
      <c r="E49" s="2">
        <f>7300+981.88+5510+1820+2680</f>
        <v>18291.88</v>
      </c>
      <c r="F49" s="2">
        <f>0.73+1.11+4.79+0.6+6.35</f>
        <v>13.58</v>
      </c>
      <c r="G49" s="2">
        <f>0.01+0.01</f>
        <v>0.02</v>
      </c>
    </row>
    <row r="50" ht="14.25" customHeight="1">
      <c r="B50" s="2" t="s">
        <v>16</v>
      </c>
      <c r="C50" s="2">
        <f>0.96+90.89+39.83+168.79+14.14+8.84+83.8</f>
        <v>407.25</v>
      </c>
      <c r="D50" s="2">
        <f>0.21+0.03+0.04+2.24+0.08+1.2</f>
        <v>3.8</v>
      </c>
      <c r="E50" s="2">
        <f>15.35+2380+978.64+4420+375.33+242.7+1990</f>
        <v>10402.02</v>
      </c>
      <c r="F50" s="2">
        <f>1.44+0.18+0.24+0.55+22.22+11.97+0.02</f>
        <v>36.62</v>
      </c>
      <c r="G50" s="2">
        <f>1.07+1.99+0.01</f>
        <v>3.07</v>
      </c>
    </row>
    <row r="51" ht="14.25" customHeight="1">
      <c r="B51" s="2" t="s">
        <v>18</v>
      </c>
      <c r="C51" s="2">
        <f>0.75+0.72+1.26+3.6+1.98+29.07+0.58+0.12+0.45+0.43</f>
        <v>38.96</v>
      </c>
      <c r="D51" s="2">
        <f>0.08+0.01+0.01</f>
        <v>0.1</v>
      </c>
      <c r="E51" s="2">
        <f>12.52+12.02+21.03+60.08+33.04+484.89+9.71+2.05+7.51+7.13</f>
        <v>649.98</v>
      </c>
      <c r="F51" s="2">
        <f>0.06+0.01</f>
        <v>0.07</v>
      </c>
      <c r="G51" s="2">
        <v>0.0</v>
      </c>
    </row>
    <row r="52" ht="14.25" customHeight="1">
      <c r="B52" s="2" t="s">
        <v>172</v>
      </c>
      <c r="C52" s="2">
        <f>'End of Life'!D101+'End of Life'!D111+'End of Life'!D119</f>
        <v>52.71</v>
      </c>
      <c r="D52" s="2">
        <f>'End of Life'!E101+'End of Life'!E111+'End of Life'!E119</f>
        <v>0.01</v>
      </c>
      <c r="E52" s="2">
        <f>'End of Life'!F101+'End of Life'!F111+'End of Life'!F119</f>
        <v>28.4</v>
      </c>
      <c r="F52" s="2">
        <f>'End of Life'!G101+'End of Life'!G111+'End of Life'!G119</f>
        <v>0.06</v>
      </c>
      <c r="G52" s="2">
        <f>'End of Life'!H101+'End of Life'!H111+'End of Life'!H119</f>
        <v>0.04</v>
      </c>
    </row>
    <row r="53" ht="14.25" customHeight="1">
      <c r="A53" s="45" t="s">
        <v>173</v>
      </c>
      <c r="B53" s="46"/>
      <c r="C53" s="46">
        <f t="shared" ref="C53:G53" si="10">SUM(C48:C52)</f>
        <v>4909.73</v>
      </c>
      <c r="D53" s="46">
        <f t="shared" si="10"/>
        <v>11.96</v>
      </c>
      <c r="E53" s="46">
        <f t="shared" si="10"/>
        <v>138975.56</v>
      </c>
      <c r="F53" s="46">
        <f t="shared" si="10"/>
        <v>87.63</v>
      </c>
      <c r="G53" s="46">
        <f t="shared" si="10"/>
        <v>3.7</v>
      </c>
    </row>
    <row r="54" ht="14.25" customHeight="1">
      <c r="A54" s="43" t="s">
        <v>69</v>
      </c>
      <c r="B54" s="2" t="s">
        <v>146</v>
      </c>
      <c r="C54" s="2">
        <f>18690+640.49+149.29+57.79+48.16+263.32+59.13+397.05+4730+168.55+409.34+149.29</f>
        <v>25762.41</v>
      </c>
      <c r="D54" s="2">
        <f>23.75+2.19+0.51+0.2+0.16+1.06+0.02+8.56+6+0.58+1.4+0.51</f>
        <v>44.94</v>
      </c>
      <c r="E54" s="2">
        <f>481240+13000+3030+1170+977.8+5110+1190+10760+121660+3420+8310+3030</f>
        <v>652897.8</v>
      </c>
      <c r="F54" s="2">
        <f>137.63+8.43+1.96+0.76+0.63+3.24+0.65+5.89+34.79+2.22+5.39+1.96</f>
        <v>203.55</v>
      </c>
      <c r="G54" s="2">
        <f>2.53+0.02+0.01+0.01+0.64+0.01</f>
        <v>3.22</v>
      </c>
    </row>
    <row r="55" ht="14.25" customHeight="1">
      <c r="B55" s="2" t="s">
        <v>171</v>
      </c>
      <c r="C55" s="2">
        <f>84.64+96.94+85.1+68.96</f>
        <v>335.64</v>
      </c>
      <c r="D55" s="2">
        <f>1.09+1.24+1.09+0.89</f>
        <v>4.31</v>
      </c>
      <c r="E55" s="2">
        <f>12470+14280+12540+10160</f>
        <v>49450</v>
      </c>
      <c r="F55" s="2">
        <f>3.39+3.89+3.41+2.76</f>
        <v>13.45</v>
      </c>
      <c r="G55" s="2">
        <v>0.04</v>
      </c>
    </row>
    <row r="56" ht="14.25" customHeight="1">
      <c r="B56" s="2" t="s">
        <v>16</v>
      </c>
      <c r="C56" s="2">
        <f>215.9+570.51+1800+0.69</f>
        <v>2587.1</v>
      </c>
      <c r="D56" s="2">
        <f>0.68+1.92+4.48</f>
        <v>7.08</v>
      </c>
      <c r="E56" s="2">
        <f>5730+15660+10.97+42830</f>
        <v>64230.97</v>
      </c>
      <c r="F56" s="2">
        <f>3.71+11.65+30.98+0.02</f>
        <v>46.36</v>
      </c>
      <c r="G56" s="2">
        <f>0.02+0.05+0.12</f>
        <v>0.19</v>
      </c>
    </row>
    <row r="57" ht="14.25" customHeight="1">
      <c r="B57" s="2" t="s">
        <v>18</v>
      </c>
      <c r="C57" s="2">
        <f>3.47+10.21+4.2+10.81+9.13+0.12+11.71+1.12+1.44+3.72+19.96+53.43</f>
        <v>129.32</v>
      </c>
      <c r="D57" s="2">
        <f>0.01+0.03+0.01+0.03+0.02+0.03+0.01+0.05+0.14</f>
        <v>0.33</v>
      </c>
      <c r="E57" s="2">
        <f>57.94+170.23+70.09+180.24+152.2+2.07+195.26+18.69+24.03+62.08+332.95+891.2</f>
        <v>2156.98</v>
      </c>
      <c r="F57" s="2">
        <f>0.01+0.02+0.01+0.02+0.02+0.02+0.01+0.04+0.1</f>
        <v>0.25</v>
      </c>
      <c r="G57" s="2">
        <v>0.0</v>
      </c>
    </row>
    <row r="58" ht="14.25" customHeight="1">
      <c r="B58" s="2" t="s">
        <v>172</v>
      </c>
      <c r="C58" s="2">
        <f>'End of Life'!D139+'End of Life'!D145</f>
        <v>1860.45</v>
      </c>
      <c r="D58" s="2">
        <f>'End of Life'!E139+'End of Life'!E145</f>
        <v>0.27</v>
      </c>
      <c r="E58" s="2">
        <f>'End of Life'!F139+'End of Life'!F145</f>
        <v>377.52</v>
      </c>
      <c r="F58" s="2">
        <f>'End of Life'!G139+'End of Life'!G145</f>
        <v>2.74</v>
      </c>
      <c r="G58" s="2">
        <f>'End of Life'!H139+'End of Life'!H145</f>
        <v>0.01</v>
      </c>
    </row>
    <row r="59" ht="14.25" customHeight="1">
      <c r="A59" s="45" t="s">
        <v>173</v>
      </c>
      <c r="B59" s="47"/>
      <c r="C59" s="46">
        <f t="shared" ref="C59:G59" si="11">SUM(C54:C58)</f>
        <v>30674.92</v>
      </c>
      <c r="D59" s="46">
        <f t="shared" si="11"/>
        <v>56.93</v>
      </c>
      <c r="E59" s="46">
        <f t="shared" si="11"/>
        <v>769113.27</v>
      </c>
      <c r="F59" s="46">
        <f t="shared" si="11"/>
        <v>266.35</v>
      </c>
      <c r="G59" s="46">
        <f t="shared" si="11"/>
        <v>3.46</v>
      </c>
    </row>
    <row r="60" ht="14.25" customHeight="1">
      <c r="A60" s="43" t="s">
        <v>72</v>
      </c>
      <c r="B60" s="2" t="s">
        <v>146</v>
      </c>
      <c r="C60" s="2">
        <f>186.98</f>
        <v>186.98</v>
      </c>
      <c r="D60" s="2">
        <v>20.67</v>
      </c>
      <c r="E60" s="2">
        <v>4480.0</v>
      </c>
      <c r="F60" s="2">
        <v>4.3</v>
      </c>
      <c r="G60" s="2">
        <v>0.04</v>
      </c>
    </row>
    <row r="61" ht="14.25" customHeight="1">
      <c r="B61" s="2" t="s">
        <v>171</v>
      </c>
      <c r="C61" s="2">
        <v>63.97</v>
      </c>
      <c r="D61" s="2">
        <v>0.17</v>
      </c>
      <c r="E61" s="2">
        <v>2190.0</v>
      </c>
      <c r="F61" s="2">
        <v>1.24</v>
      </c>
      <c r="G61" s="2">
        <v>0.0</v>
      </c>
    </row>
    <row r="62" ht="14.25" customHeight="1">
      <c r="B62" s="2" t="s">
        <v>16</v>
      </c>
      <c r="C62" s="2">
        <f>194.76</f>
        <v>194.76</v>
      </c>
      <c r="D62" s="2">
        <v>2.58</v>
      </c>
      <c r="E62" s="2">
        <v>5100.0</v>
      </c>
      <c r="F62" s="2">
        <v>25.65</v>
      </c>
      <c r="G62" s="2">
        <v>2.29</v>
      </c>
    </row>
    <row r="63" ht="14.25" customHeight="1">
      <c r="B63" s="2" t="s">
        <v>18</v>
      </c>
      <c r="C63" s="2">
        <f>1.38+1.89</f>
        <v>3.27</v>
      </c>
      <c r="D63" s="2">
        <f>0.01</f>
        <v>0.01</v>
      </c>
      <c r="E63" s="2">
        <f>22.92+31.54</f>
        <v>54.46</v>
      </c>
      <c r="F63" s="2">
        <v>0.0</v>
      </c>
      <c r="G63" s="2">
        <v>0.0</v>
      </c>
    </row>
    <row r="64" ht="14.25" customHeight="1">
      <c r="B64" s="2" t="s">
        <v>172</v>
      </c>
      <c r="C64" s="2">
        <f>'End of Life'!D150</f>
        <v>49</v>
      </c>
      <c r="D64" s="2">
        <f>'End of Life'!E150</f>
        <v>0</v>
      </c>
      <c r="E64" s="2">
        <f>'End of Life'!F150</f>
        <v>22.82</v>
      </c>
      <c r="F64" s="2">
        <f>'End of Life'!G150</f>
        <v>0.02</v>
      </c>
      <c r="G64" s="2">
        <f>'End of Life'!H150</f>
        <v>0.05</v>
      </c>
    </row>
    <row r="65" ht="14.25" customHeight="1">
      <c r="A65" s="45" t="s">
        <v>173</v>
      </c>
      <c r="B65" s="46"/>
      <c r="C65" s="46">
        <f t="shared" ref="C65:G65" si="12">SUM(C60:C64)</f>
        <v>497.98</v>
      </c>
      <c r="D65" s="46">
        <f t="shared" si="12"/>
        <v>23.43</v>
      </c>
      <c r="E65" s="46">
        <f t="shared" si="12"/>
        <v>11847.28</v>
      </c>
      <c r="F65" s="46">
        <f t="shared" si="12"/>
        <v>31.21</v>
      </c>
      <c r="G65" s="46">
        <f t="shared" si="12"/>
        <v>2.38</v>
      </c>
      <c r="H65" s="1"/>
      <c r="I65" s="1"/>
      <c r="J65" s="1"/>
      <c r="K65" s="1"/>
      <c r="L65" s="1"/>
      <c r="M65" s="1"/>
      <c r="N65" s="1"/>
      <c r="O65" s="1"/>
      <c r="P65" s="1"/>
      <c r="Q65" s="1"/>
      <c r="R65" s="1"/>
      <c r="S65" s="1"/>
      <c r="T65" s="1"/>
      <c r="U65" s="1"/>
      <c r="V65" s="1"/>
      <c r="W65" s="1"/>
      <c r="X65" s="1"/>
      <c r="Y65" s="1"/>
      <c r="Z65" s="1"/>
    </row>
    <row r="66" ht="14.25" customHeight="1">
      <c r="A66" s="43" t="s">
        <v>73</v>
      </c>
      <c r="B66" s="2" t="s">
        <v>146</v>
      </c>
      <c r="C66" s="2">
        <f>315.07+42.82+14.45</f>
        <v>372.34</v>
      </c>
      <c r="D66" s="2">
        <f>0.4+0.06+0.05</f>
        <v>0.51</v>
      </c>
      <c r="E66" s="2">
        <f>8110+1200+293.34</f>
        <v>9603.34</v>
      </c>
      <c r="F66" s="2">
        <f>2.32+0.38+0.19</f>
        <v>2.89</v>
      </c>
      <c r="G66" s="2">
        <f>0.04+0.01</f>
        <v>0.05</v>
      </c>
    </row>
    <row r="67" ht="14.25" customHeight="1">
      <c r="B67" s="2" t="s">
        <v>171</v>
      </c>
      <c r="C67" s="2">
        <v>0.0</v>
      </c>
      <c r="D67" s="2">
        <v>0.0</v>
      </c>
      <c r="E67" s="2">
        <f>0</f>
        <v>0</v>
      </c>
      <c r="F67" s="2">
        <v>0.0</v>
      </c>
      <c r="G67" s="2">
        <v>0.0</v>
      </c>
    </row>
    <row r="68" ht="14.25" customHeight="1">
      <c r="B68" s="2" t="s">
        <v>16</v>
      </c>
      <c r="C68" s="2">
        <f>2.36+10.02+20.95</f>
        <v>33.33</v>
      </c>
      <c r="D68" s="2">
        <f>0.01+0.03+0.05</f>
        <v>0.09</v>
      </c>
      <c r="E68" s="2">
        <f>62.55+275.06+498</f>
        <v>835.61</v>
      </c>
      <c r="F68" s="2">
        <f>0.04+0.2+0.36</f>
        <v>0.6</v>
      </c>
      <c r="G68" s="2">
        <v>0.0</v>
      </c>
    </row>
    <row r="69" ht="14.25" customHeight="1">
      <c r="B69" s="2" t="s">
        <v>18</v>
      </c>
      <c r="C69" s="2">
        <f>0.9+0.15+0.45</f>
        <v>1.5</v>
      </c>
      <c r="D69" s="2">
        <v>0.0</v>
      </c>
      <c r="E69" s="2">
        <f>15.02+2.5+7.51</f>
        <v>25.03</v>
      </c>
      <c r="F69" s="2">
        <v>0.0</v>
      </c>
      <c r="G69" s="2">
        <v>0.0</v>
      </c>
    </row>
    <row r="70" ht="14.25" customHeight="1">
      <c r="B70" s="2" t="s">
        <v>172</v>
      </c>
      <c r="C70" s="2">
        <f>'End of Life'!D160</f>
        <v>29.43</v>
      </c>
      <c r="D70" s="2">
        <f>'End of Life'!E160</f>
        <v>0</v>
      </c>
      <c r="E70" s="2">
        <f>'End of Life'!F160</f>
        <v>5.97</v>
      </c>
      <c r="F70" s="2">
        <f>'End of Life'!G160</f>
        <v>0.05</v>
      </c>
      <c r="G70" s="2">
        <f>'End of Life'!H160</f>
        <v>0</v>
      </c>
    </row>
    <row r="71" ht="14.25" customHeight="1">
      <c r="A71" s="45" t="s">
        <v>173</v>
      </c>
      <c r="B71" s="46"/>
      <c r="C71" s="46">
        <f t="shared" ref="C71:D71" si="13">SUM(C66:C70)</f>
        <v>436.6</v>
      </c>
      <c r="D71" s="46">
        <f t="shared" si="13"/>
        <v>0.6</v>
      </c>
      <c r="E71" s="46"/>
      <c r="F71" s="46"/>
      <c r="G71" s="46"/>
      <c r="H71" s="1"/>
      <c r="I71" s="1"/>
      <c r="J71" s="1"/>
      <c r="K71" s="1"/>
      <c r="L71" s="1"/>
      <c r="M71" s="1"/>
      <c r="N71" s="1"/>
      <c r="O71" s="1"/>
      <c r="P71" s="1"/>
      <c r="Q71" s="1"/>
      <c r="R71" s="1"/>
      <c r="S71" s="1"/>
      <c r="T71" s="1"/>
      <c r="U71" s="1"/>
      <c r="V71" s="1"/>
      <c r="W71" s="1"/>
      <c r="X71" s="1"/>
      <c r="Y71" s="1"/>
      <c r="Z71" s="1"/>
    </row>
    <row r="72" ht="14.25" customHeight="1">
      <c r="A72" s="43" t="s">
        <v>74</v>
      </c>
      <c r="B72" s="2" t="s">
        <v>146</v>
      </c>
      <c r="C72" s="2">
        <f>210.05+25.69+7.71+5.89+6.62+105.02+342.55+14.45+38.53+9.63</f>
        <v>766.14</v>
      </c>
      <c r="D72" s="2">
        <f>0.27+0.04+0.03+0.02+0.14+0.13+0.49+0.05+0.13+0.03</f>
        <v>1.33</v>
      </c>
      <c r="E72" s="2">
        <f>5410+718.81+156.45+146+179.39+2700+9580+293.34+782.24+195.56</f>
        <v>20161.79</v>
      </c>
      <c r="F72" s="2">
        <f>1.55+0.23+0.1+0.08+0.1+0.77+3.04+0.19+0.51+0.13</f>
        <v>6.7</v>
      </c>
      <c r="G72" s="2">
        <f>0.03+0.01+0.06</f>
        <v>0.1</v>
      </c>
    </row>
    <row r="73" ht="14.25" customHeight="1">
      <c r="B73" s="2" t="s">
        <v>171</v>
      </c>
      <c r="C73" s="2">
        <f>23.56</f>
        <v>23.56</v>
      </c>
      <c r="D73" s="2">
        <f>0.3</f>
        <v>0.3</v>
      </c>
      <c r="E73" s="2">
        <f>3470</f>
        <v>3470</v>
      </c>
      <c r="F73" s="2">
        <v>0.94</v>
      </c>
      <c r="G73" s="2">
        <v>0.0</v>
      </c>
    </row>
    <row r="74" ht="14.25" customHeight="1">
      <c r="B74" s="2" t="s">
        <v>16</v>
      </c>
      <c r="C74" s="2">
        <f>6.13+2.36+72.34+0.14</f>
        <v>80.97</v>
      </c>
      <c r="D74" s="2">
        <f>0.02+0.01+0.21</f>
        <v>0.24</v>
      </c>
      <c r="E74" s="2">
        <f>162.64+64.72+1510+2.19</f>
        <v>1739.55</v>
      </c>
      <c r="F74" s="2">
        <f>0.11+0.05+1.08</f>
        <v>1.24</v>
      </c>
      <c r="G74" s="2">
        <v>0.0</v>
      </c>
    </row>
    <row r="75" ht="14.25" customHeight="1">
      <c r="B75" s="2" t="s">
        <v>18</v>
      </c>
      <c r="C75" s="2">
        <f>0.22+0.96+0.36+0.96+0.24+0.15+0.23+0.24+0.09+0.6</f>
        <v>4.05</v>
      </c>
      <c r="D75" s="2">
        <v>0.0</v>
      </c>
      <c r="E75" s="2">
        <f>3.74+16.02+6.01+16.02+6.01+16.02+4.01+2.54+3.76+4.01+1.5+10.01</f>
        <v>89.65</v>
      </c>
      <c r="F75" s="2">
        <v>0.0</v>
      </c>
      <c r="G75" s="2">
        <v>0.0</v>
      </c>
    </row>
    <row r="76" ht="14.25" customHeight="1">
      <c r="B76" s="2" t="s">
        <v>172</v>
      </c>
      <c r="C76" s="2">
        <f>'End of Life'!D172+'End of Life'!D179</f>
        <v>23.54</v>
      </c>
      <c r="D76" s="2">
        <f>'End of Life'!E172+'End of Life'!E179</f>
        <v>0</v>
      </c>
      <c r="E76" s="2">
        <f>'End of Life'!F172+'End of Life'!F179</f>
        <v>4.76</v>
      </c>
      <c r="F76" s="2">
        <f>'End of Life'!G172+'End of Life'!G179</f>
        <v>0.03</v>
      </c>
      <c r="G76" s="2">
        <f>'End of Life'!H172+'End of Life'!H179</f>
        <v>0</v>
      </c>
    </row>
    <row r="77" ht="14.25" customHeight="1">
      <c r="A77" s="45" t="s">
        <v>173</v>
      </c>
      <c r="B77" s="46"/>
      <c r="C77" s="46">
        <f t="shared" ref="C77:G77" si="14">SUM(C72:C76)</f>
        <v>898.26</v>
      </c>
      <c r="D77" s="46">
        <f t="shared" si="14"/>
        <v>1.87</v>
      </c>
      <c r="E77" s="46">
        <f t="shared" si="14"/>
        <v>25465.75</v>
      </c>
      <c r="F77" s="46">
        <f t="shared" si="14"/>
        <v>8.91</v>
      </c>
      <c r="G77" s="46">
        <f t="shared" si="14"/>
        <v>0.1</v>
      </c>
      <c r="H77" s="1"/>
      <c r="I77" s="1"/>
      <c r="J77" s="1"/>
      <c r="K77" s="1"/>
      <c r="L77" s="1"/>
      <c r="M77" s="1"/>
      <c r="N77" s="1"/>
      <c r="O77" s="1"/>
      <c r="P77" s="1"/>
      <c r="Q77" s="1"/>
      <c r="R77" s="1"/>
      <c r="S77" s="1"/>
      <c r="T77" s="1"/>
      <c r="U77" s="1"/>
      <c r="V77" s="1"/>
      <c r="W77" s="1"/>
      <c r="X77" s="1"/>
      <c r="Y77" s="1"/>
      <c r="Z77" s="1"/>
    </row>
    <row r="78" ht="14.25" customHeight="1">
      <c r="A78" s="43" t="s">
        <v>75</v>
      </c>
      <c r="B78" s="2" t="s">
        <v>146</v>
      </c>
      <c r="C78" s="2">
        <f>2520+471.01+110.76+8.19+3.37+49.29+153.03+24.19+19.26+48.16+10.13</f>
        <v>3417.39</v>
      </c>
      <c r="D78" s="2">
        <f>3.2+0.67+0.38+0.03+0.01+0.2+3.3+0.01+0.07+0.16+0.04</f>
        <v>8.07</v>
      </c>
      <c r="E78" s="2">
        <f>64890+13180+2250+166.23+68.45+955.9+4150+485.57+391.12+977.8+196.42</f>
        <v>87711.49</v>
      </c>
      <c r="F78" s="2">
        <f>18.56+4.18+1.46+0.11+0.04+0.61+2.27+0.26+0.25+0.63+0.12</f>
        <v>28.49</v>
      </c>
      <c r="G78" s="2">
        <f>0.34+0.08</f>
        <v>0.42</v>
      </c>
    </row>
    <row r="79" ht="14.25" customHeight="1">
      <c r="B79" s="2" t="s">
        <v>171</v>
      </c>
      <c r="C79" s="2">
        <f>3885.6-3843.58</f>
        <v>42.02</v>
      </c>
      <c r="D79" s="2">
        <f>8.5-7.96</f>
        <v>0.54</v>
      </c>
      <c r="E79" s="2">
        <f>91443.23-85252.39</f>
        <v>6190.84</v>
      </c>
      <c r="F79" s="2">
        <f>31.49-29.8</f>
        <v>1.69</v>
      </c>
      <c r="G79" s="2">
        <f>0.45-0.44</f>
        <v>0.01</v>
      </c>
    </row>
    <row r="80" ht="14.25" customHeight="1">
      <c r="B80" s="2" t="s">
        <v>16</v>
      </c>
      <c r="C80" s="2">
        <f>67.41+81.33+43.4+0.14</f>
        <v>192.28</v>
      </c>
      <c r="D80" s="2">
        <f>0.12+0.27+0.21</f>
        <v>0.6</v>
      </c>
      <c r="E80" s="2">
        <f>908.79+2230+1790</f>
        <v>4928.79</v>
      </c>
      <c r="F80" s="2">
        <f>1.16+1.66+0.65</f>
        <v>3.47</v>
      </c>
      <c r="G80" s="2">
        <f>0.02</f>
        <v>0.02</v>
      </c>
    </row>
    <row r="81" ht="14.25" customHeight="1">
      <c r="B81" s="2" t="s">
        <v>18</v>
      </c>
      <c r="C81" s="2">
        <f>0.05+3.52+2.19+0.08+0.2+3.45+1.65+7.2</f>
        <v>18.34</v>
      </c>
      <c r="D81" s="2">
        <f>0.02+0.01+0.01+0.01</f>
        <v>0.05</v>
      </c>
      <c r="E81" s="2">
        <f>120.16+27.54+57.58+3.4+1.4+36.55+58.66+0.85</f>
        <v>306.14</v>
      </c>
      <c r="F81" s="2">
        <v>0.0</v>
      </c>
      <c r="G81" s="2">
        <v>0.0</v>
      </c>
    </row>
    <row r="82" ht="14.25" customHeight="1">
      <c r="B82" s="2" t="s">
        <v>172</v>
      </c>
      <c r="C82" s="2">
        <f>'End of Life'!D194</f>
        <v>334.68</v>
      </c>
      <c r="D82" s="2">
        <f>'End of Life'!E194</f>
        <v>0.04</v>
      </c>
      <c r="E82" s="2">
        <f>'End of Life'!F194</f>
        <v>67.91</v>
      </c>
      <c r="F82" s="2">
        <f>'End of Life'!G194</f>
        <v>0.51</v>
      </c>
      <c r="G82" s="2">
        <f>'End of Life'!H194</f>
        <v>0</v>
      </c>
    </row>
    <row r="83" ht="14.25" customHeight="1">
      <c r="A83" s="45" t="s">
        <v>173</v>
      </c>
      <c r="B83" s="46"/>
      <c r="C83" s="46">
        <f t="shared" ref="C83:G83" si="15">SUM(C78:C82)</f>
        <v>4004.71</v>
      </c>
      <c r="D83" s="46">
        <f t="shared" si="15"/>
        <v>9.3</v>
      </c>
      <c r="E83" s="46">
        <f t="shared" si="15"/>
        <v>99205.17</v>
      </c>
      <c r="F83" s="46">
        <f t="shared" si="15"/>
        <v>34.16</v>
      </c>
      <c r="G83" s="46">
        <f t="shared" si="15"/>
        <v>0.45</v>
      </c>
      <c r="H83" s="1"/>
      <c r="I83" s="1"/>
      <c r="J83" s="1"/>
      <c r="K83" s="1"/>
      <c r="L83" s="1"/>
      <c r="M83" s="1"/>
      <c r="N83" s="1"/>
      <c r="O83" s="1"/>
      <c r="P83" s="1"/>
      <c r="Q83" s="1"/>
      <c r="R83" s="1"/>
      <c r="S83" s="1"/>
      <c r="T83" s="1"/>
      <c r="U83" s="1"/>
      <c r="V83" s="1"/>
      <c r="W83" s="1"/>
      <c r="X83" s="1"/>
      <c r="Y83" s="1"/>
      <c r="Z83" s="1"/>
    </row>
    <row r="84" ht="14.25" customHeight="1">
      <c r="A84" s="43" t="s">
        <v>178</v>
      </c>
      <c r="B84" s="2" t="s">
        <v>146</v>
      </c>
      <c r="C84" s="2">
        <f>183.72+36.66+387.01</f>
        <v>607.39</v>
      </c>
      <c r="D84" s="2">
        <f>8.79+0.18+3.75</f>
        <v>12.72</v>
      </c>
      <c r="E84" s="2">
        <f>2690+926.47+5060</f>
        <v>8676.47</v>
      </c>
      <c r="F84" s="2">
        <f>1.98+0.47+2.41</f>
        <v>4.86</v>
      </c>
      <c r="G84" s="2">
        <f>0.01+0.01</f>
        <v>0.02</v>
      </c>
    </row>
    <row r="85" ht="14.25" customHeight="1">
      <c r="B85" s="2" t="s">
        <v>171</v>
      </c>
      <c r="C85" s="2">
        <v>0.37</v>
      </c>
      <c r="D85" s="2">
        <f>0</f>
        <v>0</v>
      </c>
      <c r="E85" s="2">
        <f>10.61</f>
        <v>10.61</v>
      </c>
      <c r="F85" s="2">
        <f>0.01</f>
        <v>0.01</v>
      </c>
      <c r="G85" s="2">
        <v>0.02</v>
      </c>
    </row>
    <row r="86" ht="14.25" customHeight="1">
      <c r="B86" s="2" t="s">
        <v>16</v>
      </c>
      <c r="C86" s="2">
        <v>1.3</v>
      </c>
      <c r="D86" s="2">
        <v>0.02</v>
      </c>
      <c r="E86" s="2">
        <f>34.01</f>
        <v>34.01</v>
      </c>
      <c r="F86" s="2">
        <v>0.17</v>
      </c>
      <c r="G86" s="2">
        <v>0.0</v>
      </c>
    </row>
    <row r="87" ht="14.25" customHeight="1">
      <c r="B87" s="2" t="s">
        <v>18</v>
      </c>
      <c r="C87" s="2">
        <f>64.42+0.27+57.45+0.01</f>
        <v>122.15</v>
      </c>
      <c r="D87" s="2">
        <f>0.02+0.02</f>
        <v>0.04</v>
      </c>
      <c r="E87" s="2">
        <f>965.24+4.54+860.78+0.13</f>
        <v>1830.69</v>
      </c>
      <c r="F87" s="2">
        <f>0.03+0.03</f>
        <v>0.06</v>
      </c>
      <c r="G87" s="2">
        <v>0.0</v>
      </c>
    </row>
    <row r="88" ht="14.25" customHeight="1">
      <c r="B88" s="2" t="s">
        <v>172</v>
      </c>
      <c r="C88" s="2">
        <f>'End of Life'!D207</f>
        <v>15.49</v>
      </c>
      <c r="D88" s="2">
        <f>'End of Life'!E207</f>
        <v>0</v>
      </c>
      <c r="E88" s="2">
        <f>'End of Life'!F207</f>
        <v>7.22</v>
      </c>
      <c r="F88" s="2">
        <f>'End of Life'!G207</f>
        <v>0</v>
      </c>
      <c r="G88" s="2">
        <f>'End of Life'!H207</f>
        <v>0.02</v>
      </c>
    </row>
    <row r="89" ht="14.25" customHeight="1">
      <c r="A89" s="45" t="s">
        <v>173</v>
      </c>
      <c r="B89" s="46"/>
      <c r="C89" s="46">
        <f t="shared" ref="C89:G89" si="16">SUM(C84:C88)</f>
        <v>746.7</v>
      </c>
      <c r="D89" s="46">
        <f t="shared" si="16"/>
        <v>12.78</v>
      </c>
      <c r="E89" s="46">
        <f t="shared" si="16"/>
        <v>10559</v>
      </c>
      <c r="F89" s="46">
        <f t="shared" si="16"/>
        <v>5.1</v>
      </c>
      <c r="G89" s="46">
        <f t="shared" si="16"/>
        <v>0.06</v>
      </c>
      <c r="H89" s="1"/>
      <c r="I89" s="1"/>
      <c r="J89" s="1"/>
      <c r="K89" s="1"/>
      <c r="L89" s="1"/>
      <c r="M89" s="1"/>
      <c r="N89" s="1"/>
      <c r="O89" s="1"/>
      <c r="P89" s="1"/>
      <c r="Q89" s="1"/>
      <c r="R89" s="1"/>
      <c r="S89" s="1"/>
      <c r="T89" s="1"/>
      <c r="U89" s="1"/>
      <c r="V89" s="1"/>
      <c r="W89" s="1"/>
      <c r="X89" s="1"/>
      <c r="Y89" s="1"/>
      <c r="Z89" s="1"/>
    </row>
    <row r="90" ht="14.25" customHeight="1">
      <c r="A90" s="43" t="s">
        <v>179</v>
      </c>
      <c r="B90" s="2" t="s">
        <v>171</v>
      </c>
      <c r="C90" s="2">
        <v>670.45</v>
      </c>
      <c r="D90" s="2">
        <v>5.35</v>
      </c>
      <c r="E90" s="2">
        <v>77420.0</v>
      </c>
      <c r="F90" s="2">
        <v>16.35</v>
      </c>
      <c r="G90" s="2">
        <v>0.06</v>
      </c>
    </row>
    <row r="91" ht="14.25" customHeight="1">
      <c r="B91" s="2" t="s">
        <v>16</v>
      </c>
      <c r="C91" s="2">
        <v>5840.0</v>
      </c>
      <c r="D91" s="2">
        <v>77.38</v>
      </c>
      <c r="E91" s="2">
        <v>153030.0</v>
      </c>
      <c r="F91" s="2">
        <v>769.22</v>
      </c>
      <c r="G91" s="2">
        <v>68.8</v>
      </c>
    </row>
    <row r="92" ht="14.25" customHeight="1">
      <c r="B92" s="2" t="s">
        <v>172</v>
      </c>
      <c r="C92" s="2">
        <v>0.0</v>
      </c>
      <c r="D92" s="2">
        <v>0.0</v>
      </c>
      <c r="E92" s="2">
        <v>0.0</v>
      </c>
      <c r="F92" s="2">
        <v>0.0</v>
      </c>
      <c r="G92" s="2">
        <v>0.0</v>
      </c>
    </row>
    <row r="93" ht="14.25" customHeight="1">
      <c r="A93" s="45" t="s">
        <v>173</v>
      </c>
      <c r="B93" s="46"/>
      <c r="C93" s="46">
        <f t="shared" ref="C93:G93" si="17">SUM(C90:C92)</f>
        <v>6510.45</v>
      </c>
      <c r="D93" s="46">
        <f t="shared" si="17"/>
        <v>82.73</v>
      </c>
      <c r="E93" s="46">
        <f t="shared" si="17"/>
        <v>230450</v>
      </c>
      <c r="F93" s="46">
        <f t="shared" si="17"/>
        <v>785.57</v>
      </c>
      <c r="G93" s="46">
        <f t="shared" si="17"/>
        <v>68.86</v>
      </c>
      <c r="H93" s="1"/>
      <c r="I93" s="1"/>
      <c r="J93" s="1"/>
      <c r="K93" s="1"/>
      <c r="L93" s="1"/>
      <c r="M93" s="1"/>
      <c r="N93" s="1"/>
      <c r="O93" s="1"/>
      <c r="P93" s="1"/>
      <c r="Q93" s="1"/>
      <c r="R93" s="1"/>
      <c r="S93" s="1"/>
      <c r="T93" s="1"/>
      <c r="U93" s="1"/>
      <c r="V93" s="1"/>
      <c r="W93" s="1"/>
      <c r="X93" s="1"/>
      <c r="Y93" s="1"/>
      <c r="Z93" s="1"/>
    </row>
    <row r="94" ht="14.25" customHeight="1">
      <c r="A94" s="43" t="s">
        <v>78</v>
      </c>
      <c r="B94" s="2" t="s">
        <v>146</v>
      </c>
      <c r="C94" s="2">
        <f>98.91+10630+374.47+62.6+146.16+15.56+135.14+302.52+347.83</f>
        <v>12113.19</v>
      </c>
      <c r="D94" s="2">
        <f>0.14+13.5+1.28+0.21+0.5+0.05+0.39+0.1+7.5</f>
        <v>23.67</v>
      </c>
      <c r="E94" s="2">
        <f>2770+273670+7600+1270+2970+385.45+3350+6070+9430</f>
        <v>307515.45</v>
      </c>
      <c r="F94" s="2">
        <f>0.88+78.27+4.93+0.82+1.92+0.2+1.74+3.3+5.16</f>
        <v>97.22</v>
      </c>
      <c r="G94" s="2">
        <f>0.02+1.44+0.01+0.01+0.01</f>
        <v>1.49</v>
      </c>
    </row>
    <row r="95" ht="14.25" customHeight="1">
      <c r="B95" s="2" t="s">
        <v>171</v>
      </c>
      <c r="C95" s="2">
        <f>870.96+642.47+1010+722.14</f>
        <v>3245.57</v>
      </c>
      <c r="D95" s="2">
        <f>11.18+8.25+12.97+9.27</f>
        <v>41.67</v>
      </c>
      <c r="E95" s="2">
        <f>128310+94650+148840+106390</f>
        <v>478190</v>
      </c>
      <c r="F95" s="2">
        <f>34.91+25.75+40.49+28.94</f>
        <v>130.09</v>
      </c>
      <c r="G95" s="2">
        <f>0.13+0.09+0.15+0.1</f>
        <v>0.47</v>
      </c>
    </row>
    <row r="96" ht="14.25" customHeight="1">
      <c r="B96" s="2" t="s">
        <v>16</v>
      </c>
      <c r="C96" s="2">
        <f>330.22+161.03+1450</f>
        <v>1941.25</v>
      </c>
      <c r="D96" s="2">
        <f>1.11+0.51+4.11</f>
        <v>5.73</v>
      </c>
      <c r="E96" s="2">
        <f>9070+4270+30290</f>
        <v>43630</v>
      </c>
      <c r="F96" s="2">
        <f>6.74+2.77+21.54</f>
        <v>31.05</v>
      </c>
      <c r="G96" s="2">
        <f>0.03+0.01+0.1</f>
        <v>0.14</v>
      </c>
    </row>
    <row r="97" ht="14.25" customHeight="1">
      <c r="B97" s="2" t="s">
        <v>18</v>
      </c>
      <c r="C97" s="2">
        <f>7.99+0.64+5.16+0.44+3.64+1.56+11.67+30.39+0.35</f>
        <v>61.84</v>
      </c>
      <c r="D97" s="2">
        <f>0.08+0.03+0.01+0.01+0.02</f>
        <v>0.15</v>
      </c>
      <c r="E97" s="2">
        <f>5.78+506.81+194.66+26.03+60.78+7.4+86.12+10.61+133.34</f>
        <v>1031.53</v>
      </c>
      <c r="F97" s="2">
        <f>0.02+0.06+0.01+0.01+0.02</f>
        <v>0.12</v>
      </c>
      <c r="G97" s="2">
        <v>0.0</v>
      </c>
    </row>
    <row r="98" ht="14.25" customHeight="1">
      <c r="B98" s="2" t="s">
        <v>172</v>
      </c>
      <c r="C98" s="2">
        <f>'End of Life'!D244</f>
        <v>1102.93</v>
      </c>
      <c r="D98" s="2">
        <f>'End of Life'!E244</f>
        <v>0.15</v>
      </c>
      <c r="E98" s="2">
        <f>'End of Life'!F244</f>
        <v>223.8</v>
      </c>
      <c r="F98" s="2">
        <f>'End of Life'!G244</f>
        <v>1.64</v>
      </c>
      <c r="G98" s="2">
        <f>'End of Life'!H244</f>
        <v>0</v>
      </c>
    </row>
    <row r="99" ht="14.25" customHeight="1">
      <c r="A99" s="45" t="s">
        <v>173</v>
      </c>
      <c r="B99" s="46"/>
      <c r="C99" s="46">
        <f t="shared" ref="C99:G99" si="18">SUM(C94:C98)</f>
        <v>18464.78</v>
      </c>
      <c r="D99" s="46">
        <f t="shared" si="18"/>
        <v>71.37</v>
      </c>
      <c r="E99" s="46">
        <f t="shared" si="18"/>
        <v>830590.78</v>
      </c>
      <c r="F99" s="46">
        <f t="shared" si="18"/>
        <v>260.12</v>
      </c>
      <c r="G99" s="46">
        <f t="shared" si="18"/>
        <v>2.1</v>
      </c>
      <c r="H99" s="1"/>
      <c r="I99" s="1"/>
      <c r="J99" s="1"/>
      <c r="K99" s="1"/>
      <c r="L99" s="1"/>
      <c r="M99" s="1"/>
      <c r="N99" s="1"/>
      <c r="O99" s="1"/>
      <c r="P99" s="1"/>
      <c r="Q99" s="1"/>
      <c r="R99" s="1"/>
      <c r="S99" s="1"/>
      <c r="T99" s="1"/>
      <c r="U99" s="1"/>
      <c r="V99" s="1"/>
      <c r="W99" s="1"/>
      <c r="X99" s="1"/>
      <c r="Y99" s="1"/>
      <c r="Z99" s="1"/>
    </row>
    <row r="100" ht="14.25" customHeight="1">
      <c r="A100" s="43" t="s">
        <v>180</v>
      </c>
      <c r="B100" s="2" t="s">
        <v>146</v>
      </c>
      <c r="C100" s="2">
        <f>37.07+0.28+1070+291.91+158.03+116.59</f>
        <v>1673.88</v>
      </c>
    </row>
    <row r="101" ht="14.25" customHeight="1">
      <c r="B101" s="2" t="s">
        <v>171</v>
      </c>
      <c r="C101" s="2">
        <v>15.53</v>
      </c>
      <c r="D101" s="2">
        <v>0.04</v>
      </c>
      <c r="E101" s="2">
        <v>412.59</v>
      </c>
      <c r="F101" s="2">
        <v>0.3</v>
      </c>
      <c r="G101" s="2">
        <v>0.0</v>
      </c>
    </row>
    <row r="102" ht="14.25" customHeight="1">
      <c r="B102" s="2" t="s">
        <v>16</v>
      </c>
      <c r="C102" s="2">
        <v>48.69</v>
      </c>
      <c r="D102" s="2">
        <v>0.64</v>
      </c>
      <c r="E102" s="2">
        <v>1280.0</v>
      </c>
      <c r="F102" s="2">
        <v>6.41</v>
      </c>
      <c r="G102" s="2">
        <v>0.57</v>
      </c>
    </row>
    <row r="103" ht="14.25" customHeight="1">
      <c r="B103" s="2" t="s">
        <v>18</v>
      </c>
      <c r="C103" s="2">
        <f>0.06+0.36+0.59</f>
        <v>1.01</v>
      </c>
      <c r="D103" s="2">
        <v>0.0</v>
      </c>
      <c r="E103" s="2">
        <f>0.81+0.06+4.9+7.99</f>
        <v>13.76</v>
      </c>
      <c r="F103" s="2">
        <v>0.0</v>
      </c>
      <c r="G103" s="2">
        <v>0.0</v>
      </c>
    </row>
    <row r="104" ht="14.25" customHeight="1">
      <c r="B104" s="2" t="s">
        <v>172</v>
      </c>
      <c r="C104" s="2">
        <f>'End of Life'!D255</f>
        <v>8.53</v>
      </c>
      <c r="D104" s="2">
        <f>'End of Life'!E255</f>
        <v>0</v>
      </c>
      <c r="E104" s="2">
        <f>'End of Life'!F255</f>
        <v>3.98</v>
      </c>
      <c r="F104" s="2">
        <f>'End of Life'!G255</f>
        <v>0</v>
      </c>
      <c r="G104" s="2">
        <f>'End of Life'!H255</f>
        <v>0.01</v>
      </c>
    </row>
    <row r="105" ht="14.25" customHeight="1">
      <c r="A105" s="45" t="s">
        <v>173</v>
      </c>
      <c r="B105" s="46"/>
      <c r="C105" s="46">
        <f t="shared" ref="C105:G105" si="19">SUM(C100:C104)</f>
        <v>1747.64</v>
      </c>
      <c r="D105" s="46">
        <f t="shared" si="19"/>
        <v>0.68</v>
      </c>
      <c r="E105" s="46">
        <f t="shared" si="19"/>
        <v>1710.33</v>
      </c>
      <c r="F105" s="46">
        <f t="shared" si="19"/>
        <v>6.71</v>
      </c>
      <c r="G105" s="46">
        <f t="shared" si="19"/>
        <v>0.58</v>
      </c>
      <c r="H105" s="1"/>
      <c r="I105" s="1"/>
      <c r="J105" s="1"/>
      <c r="K105" s="1"/>
      <c r="L105" s="1"/>
      <c r="M105" s="1"/>
      <c r="N105" s="1"/>
      <c r="O105" s="1"/>
      <c r="P105" s="1"/>
      <c r="Q105" s="1"/>
      <c r="R105" s="1"/>
      <c r="S105" s="1"/>
      <c r="T105" s="1"/>
      <c r="U105" s="1"/>
      <c r="V105" s="1"/>
      <c r="W105" s="1"/>
      <c r="X105" s="1"/>
      <c r="Y105" s="1"/>
      <c r="Z105" s="1"/>
    </row>
    <row r="106" ht="14.25" customHeight="1">
      <c r="A106" s="43" t="s">
        <v>181</v>
      </c>
      <c r="B106" s="2" t="s">
        <v>146</v>
      </c>
      <c r="C106" s="2">
        <f>74.81+15.62+1070+303.69</f>
        <v>1464.12</v>
      </c>
      <c r="D106" s="2">
        <f>3.07+0.08+10.32+28.05</f>
        <v>41.52</v>
      </c>
      <c r="E106" s="2">
        <f>1380+394.72+13930+5190</f>
        <v>20894.72</v>
      </c>
      <c r="F106" s="2">
        <f>0.62+0.2+6.63+3.51</f>
        <v>10.96</v>
      </c>
      <c r="G106" s="2">
        <f>0.03+0.01</f>
        <v>0.04</v>
      </c>
    </row>
    <row r="107" ht="14.25" customHeight="1">
      <c r="B107" s="2" t="s">
        <v>171</v>
      </c>
      <c r="C107" s="2">
        <v>11.54</v>
      </c>
      <c r="D107" s="2">
        <v>0.02</v>
      </c>
      <c r="E107" s="2">
        <v>245.85</v>
      </c>
      <c r="F107" s="2">
        <v>0.24</v>
      </c>
      <c r="G107" s="2">
        <v>0.0</v>
      </c>
    </row>
    <row r="108" ht="14.25" customHeight="1">
      <c r="B108" s="2" t="s">
        <v>16</v>
      </c>
      <c r="C108" s="2">
        <v>35.71</v>
      </c>
      <c r="D108" s="2">
        <v>0.47</v>
      </c>
      <c r="E108" s="2">
        <v>935.17</v>
      </c>
      <c r="F108" s="2">
        <v>4.71</v>
      </c>
      <c r="G108" s="2">
        <v>0.42</v>
      </c>
    </row>
    <row r="109" ht="14.25" customHeight="1">
      <c r="B109" s="2" t="s">
        <v>18</v>
      </c>
      <c r="C109" s="2">
        <f>0.01+0.17+0.01+0.03</f>
        <v>0.22</v>
      </c>
      <c r="D109" s="2">
        <v>0.0</v>
      </c>
      <c r="E109" s="2">
        <f>0.01+0.21+2.92+0.15+0.58</f>
        <v>3.87</v>
      </c>
      <c r="F109" s="2">
        <v>0.0</v>
      </c>
      <c r="G109" s="2">
        <v>0.0</v>
      </c>
    </row>
    <row r="110" ht="14.25" customHeight="1">
      <c r="B110" s="2" t="s">
        <v>172</v>
      </c>
      <c r="C110" s="2">
        <f>'End of Life'!D264</f>
        <v>31.94</v>
      </c>
      <c r="D110" s="2">
        <f>'End of Life'!E264</f>
        <v>0</v>
      </c>
      <c r="E110" s="2">
        <f>'End of Life'!F264</f>
        <v>16.49</v>
      </c>
      <c r="F110" s="2">
        <f>'End of Life'!G264</f>
        <v>0.02</v>
      </c>
      <c r="G110" s="2">
        <f>'End of Life'!H264</f>
        <v>0.02</v>
      </c>
    </row>
    <row r="111" ht="14.25" customHeight="1">
      <c r="A111" s="45" t="s">
        <v>173</v>
      </c>
      <c r="B111" s="46"/>
      <c r="C111" s="46">
        <f t="shared" ref="C111:G111" si="20">SUM(C106:C110)</f>
        <v>1543.53</v>
      </c>
      <c r="D111" s="46">
        <f t="shared" si="20"/>
        <v>42.01</v>
      </c>
      <c r="E111" s="46">
        <f t="shared" si="20"/>
        <v>22096.1</v>
      </c>
      <c r="F111" s="46">
        <f t="shared" si="20"/>
        <v>15.93</v>
      </c>
      <c r="G111" s="46">
        <f t="shared" si="20"/>
        <v>0.48</v>
      </c>
      <c r="H111" s="1"/>
      <c r="I111" s="1"/>
      <c r="J111" s="1"/>
      <c r="K111" s="1"/>
      <c r="L111" s="1"/>
      <c r="M111" s="1"/>
      <c r="N111" s="1"/>
      <c r="O111" s="1"/>
      <c r="P111" s="1"/>
      <c r="Q111" s="1"/>
      <c r="R111" s="1"/>
      <c r="S111" s="1"/>
      <c r="T111" s="1"/>
      <c r="U111" s="1"/>
      <c r="V111" s="1"/>
      <c r="W111" s="1"/>
      <c r="X111" s="1"/>
      <c r="Y111" s="1"/>
      <c r="Z111" s="1"/>
    </row>
    <row r="112" ht="14.25" customHeight="1">
      <c r="A112" s="43" t="s">
        <v>182</v>
      </c>
      <c r="B112" s="2" t="s">
        <v>146</v>
      </c>
      <c r="C112" s="2">
        <f>47.17+33.78+85.87+7.43</f>
        <v>174.25</v>
      </c>
      <c r="D112" s="2">
        <f>0.15+0.11+0.32+0.44</f>
        <v>1.02</v>
      </c>
      <c r="E112" s="2">
        <f>1790+1280+6000+71.05</f>
        <v>9141.05</v>
      </c>
      <c r="F112" s="2">
        <f>0.5+0.36+2.31+0.05</f>
        <v>3.22</v>
      </c>
      <c r="G112" s="2">
        <v>0.0</v>
      </c>
    </row>
    <row r="113" ht="14.25" customHeight="1">
      <c r="B113" s="2" t="s">
        <v>171</v>
      </c>
      <c r="C113" s="2">
        <f>92.24+4.47</f>
        <v>96.71</v>
      </c>
      <c r="D113" s="2">
        <f>1.18+0.04</f>
        <v>1.22</v>
      </c>
      <c r="E113" s="2">
        <f>13590+516.12</f>
        <v>14106.12</v>
      </c>
      <c r="F113" s="2">
        <f>3.7+0.11</f>
        <v>3.81</v>
      </c>
      <c r="G113" s="2">
        <f>0.01</f>
        <v>0.01</v>
      </c>
    </row>
    <row r="114" ht="14.25" customHeight="1">
      <c r="B114" s="2" t="s">
        <v>16</v>
      </c>
      <c r="C114" s="2">
        <f>38.95</f>
        <v>38.95</v>
      </c>
      <c r="D114" s="2">
        <v>0.52</v>
      </c>
      <c r="E114" s="2">
        <v>1020.0</v>
      </c>
      <c r="F114" s="2">
        <v>5.13</v>
      </c>
      <c r="G114" s="2">
        <v>0.46</v>
      </c>
    </row>
    <row r="115" ht="14.25" customHeight="1">
      <c r="B115" s="2" t="s">
        <v>18</v>
      </c>
      <c r="C115" s="2">
        <f>7.4+5.3+9.71+0.01+0.02</f>
        <v>22.44</v>
      </c>
      <c r="D115" s="2">
        <f>0.03+0.01+0.02</f>
        <v>0.06</v>
      </c>
      <c r="E115" s="2">
        <f>123.5+88.45+161.88+0.24+0.38</f>
        <v>374.45</v>
      </c>
      <c r="F115" s="2">
        <f>0.04</f>
        <v>0.04</v>
      </c>
      <c r="G115" s="2">
        <v>0.0</v>
      </c>
    </row>
    <row r="116" ht="14.25" customHeight="1">
      <c r="B116" s="2" t="s">
        <v>172</v>
      </c>
      <c r="C116" s="2">
        <v>0.0</v>
      </c>
      <c r="D116" s="2">
        <v>0.0</v>
      </c>
      <c r="E116" s="2">
        <v>0.0</v>
      </c>
      <c r="F116" s="2">
        <v>0.0</v>
      </c>
      <c r="G116" s="2">
        <v>0.0</v>
      </c>
    </row>
    <row r="117" ht="14.25" customHeight="1">
      <c r="A117" s="45" t="s">
        <v>173</v>
      </c>
      <c r="B117" s="46"/>
      <c r="C117" s="46">
        <f t="shared" ref="C117:G117" si="21">SUM(C112:C116)</f>
        <v>332.35</v>
      </c>
      <c r="D117" s="46">
        <f t="shared" si="21"/>
        <v>2.82</v>
      </c>
      <c r="E117" s="46">
        <f t="shared" si="21"/>
        <v>24641.62</v>
      </c>
      <c r="F117" s="46">
        <f t="shared" si="21"/>
        <v>12.2</v>
      </c>
      <c r="G117" s="46">
        <f t="shared" si="21"/>
        <v>0.47</v>
      </c>
      <c r="H117" s="1"/>
      <c r="I117" s="1"/>
      <c r="J117" s="1"/>
      <c r="K117" s="1"/>
      <c r="L117" s="1"/>
      <c r="M117" s="1"/>
      <c r="N117" s="1"/>
      <c r="O117" s="1"/>
      <c r="P117" s="1"/>
      <c r="Q117" s="1"/>
      <c r="R117" s="1"/>
      <c r="S117" s="1"/>
      <c r="T117" s="1"/>
      <c r="U117" s="1"/>
      <c r="V117" s="1"/>
      <c r="W117" s="1"/>
      <c r="X117" s="1"/>
      <c r="Y117" s="1"/>
      <c r="Z117" s="1"/>
    </row>
    <row r="118" ht="14.25" customHeight="1">
      <c r="A118" s="43" t="s">
        <v>183</v>
      </c>
      <c r="B118" s="2" t="s">
        <v>146</v>
      </c>
      <c r="C118" s="2">
        <f>47.81+110.66</f>
        <v>158.47</v>
      </c>
      <c r="D118" s="2">
        <f>0.42+0.15</f>
        <v>0.57</v>
      </c>
      <c r="E118" s="2">
        <f>7740+1810</f>
        <v>9550</v>
      </c>
      <c r="F118" s="2">
        <f>0.51+2.97</f>
        <v>3.48</v>
      </c>
      <c r="G118" s="2">
        <v>0.0</v>
      </c>
    </row>
    <row r="119" ht="14.25" customHeight="1">
      <c r="B119" s="2" t="s">
        <v>171</v>
      </c>
      <c r="C119" s="2">
        <f>32.94+37.65+7.45</f>
        <v>78.04</v>
      </c>
      <c r="D119" s="2">
        <f>0.42+0.48+0.06</f>
        <v>0.96</v>
      </c>
      <c r="E119" s="2">
        <f>4850+5550+860.2</f>
        <v>11260.2</v>
      </c>
      <c r="F119" s="2">
        <f>1.32+1.51+0.18</f>
        <v>3.01</v>
      </c>
      <c r="G119" s="2">
        <v>0.0</v>
      </c>
    </row>
    <row r="120" ht="14.25" customHeight="1">
      <c r="B120" s="2" t="s">
        <v>16</v>
      </c>
      <c r="C120" s="2">
        <f>64.92</f>
        <v>64.92</v>
      </c>
      <c r="D120" s="2">
        <v>0.86</v>
      </c>
      <c r="E120" s="2">
        <v>1700.0</v>
      </c>
      <c r="F120" s="2">
        <v>8.55</v>
      </c>
      <c r="G120" s="2">
        <v>0.76</v>
      </c>
    </row>
    <row r="121" ht="14.25" customHeight="1">
      <c r="B121" s="2" t="s">
        <v>18</v>
      </c>
      <c r="C121" s="2">
        <f>0.9+1.5+0.06</f>
        <v>2.46</v>
      </c>
      <c r="D121" s="2">
        <v>0.0</v>
      </c>
      <c r="E121" s="2">
        <f>15.02+25.03+1.05</f>
        <v>41.1</v>
      </c>
      <c r="F121" s="2">
        <v>0.0</v>
      </c>
      <c r="G121" s="2">
        <v>0.0</v>
      </c>
    </row>
    <row r="122" ht="14.25" customHeight="1">
      <c r="B122" s="2" t="s">
        <v>172</v>
      </c>
      <c r="C122" s="2">
        <v>0.0</v>
      </c>
      <c r="D122" s="2">
        <v>0.0</v>
      </c>
      <c r="E122" s="2">
        <v>0.0</v>
      </c>
      <c r="F122" s="2">
        <v>0.0</v>
      </c>
      <c r="G122" s="2">
        <v>0.0</v>
      </c>
    </row>
    <row r="123" ht="14.25" customHeight="1">
      <c r="A123" s="45" t="s">
        <v>173</v>
      </c>
      <c r="B123" s="46"/>
      <c r="C123" s="46">
        <f t="shared" ref="C123:G123" si="22">SUM(C118:C122)</f>
        <v>303.89</v>
      </c>
      <c r="D123" s="46">
        <f t="shared" si="22"/>
        <v>2.39</v>
      </c>
      <c r="E123" s="46">
        <f t="shared" si="22"/>
        <v>22551.3</v>
      </c>
      <c r="F123" s="46">
        <f t="shared" si="22"/>
        <v>15.04</v>
      </c>
      <c r="G123" s="46">
        <f t="shared" si="22"/>
        <v>0.76</v>
      </c>
      <c r="H123" s="1"/>
      <c r="I123" s="1"/>
      <c r="J123" s="1"/>
      <c r="K123" s="1"/>
      <c r="L123" s="1"/>
      <c r="M123" s="1"/>
      <c r="N123" s="1"/>
      <c r="O123" s="1"/>
      <c r="P123" s="1"/>
      <c r="Q123" s="1"/>
      <c r="R123" s="1"/>
      <c r="S123" s="1"/>
      <c r="T123" s="1"/>
      <c r="U123" s="1"/>
      <c r="V123" s="1"/>
      <c r="W123" s="1"/>
      <c r="X123" s="1"/>
      <c r="Y123" s="1"/>
      <c r="Z123" s="1"/>
    </row>
    <row r="124" ht="14.25" customHeight="1">
      <c r="A124" s="43" t="s">
        <v>91</v>
      </c>
      <c r="B124" s="2" t="s">
        <v>146</v>
      </c>
      <c r="C124" s="2">
        <f>881.61+18.29+3900+112.18+32070+12670+2500+197.16+141.15+69.88+56.81</f>
        <v>52617.08</v>
      </c>
      <c r="D124" s="2">
        <f>2.97+0.07+174.99+0.98+45.65+18.04+8.58+0.51+0.29+0.02+0.05</f>
        <v>252.15</v>
      </c>
      <c r="E124" s="2">
        <f>17650+797.25+41550+1700+897320+354610+50850+3630+2180+1400+66.7</f>
        <v>1371753.95</v>
      </c>
      <c r="F124" s="2">
        <f>11.22+0.22+42.54+0.9+284.75+112.53+32.95+3.04+1.22+0.76+0.07</f>
        <v>490.2</v>
      </c>
      <c r="G124" s="2">
        <f>0.03+0.25+5.3+2.1+0.06+0.02</f>
        <v>7.76</v>
      </c>
    </row>
    <row r="125" ht="14.25" customHeight="1">
      <c r="B125" s="2" t="s">
        <v>171</v>
      </c>
      <c r="C125" s="2">
        <f>378.06+170.53</f>
        <v>548.59</v>
      </c>
      <c r="D125" s="2">
        <f>1.24+0.64</f>
        <v>1.88</v>
      </c>
      <c r="E125" s="2">
        <f>14730+5510</f>
        <v>20240</v>
      </c>
      <c r="F125" s="2">
        <f>8.94+4.79</f>
        <v>13.73</v>
      </c>
      <c r="G125" s="2">
        <v>0.03</v>
      </c>
    </row>
    <row r="126" ht="14.25" customHeight="1">
      <c r="B126" s="2" t="s">
        <v>16</v>
      </c>
      <c r="C126" s="2">
        <f>1360+1990</f>
        <v>3350</v>
      </c>
      <c r="D126" s="2">
        <f>4.23+18.06</f>
        <v>22.29</v>
      </c>
      <c r="E126" s="2">
        <f>48930+35710</f>
        <v>84640</v>
      </c>
      <c r="F126" s="2">
        <f>27.71+179.49</f>
        <v>207.2</v>
      </c>
      <c r="G126" s="2">
        <f>0.12+16.05</f>
        <v>16.17</v>
      </c>
    </row>
    <row r="127" ht="14.25" customHeight="1">
      <c r="B127" s="2" t="s">
        <v>18</v>
      </c>
      <c r="C127" s="2">
        <f>3170+11.53+2.47+8.01+1.41+55.45+8.65+38.93+0.96+5.82+0.38</f>
        <v>3303.61</v>
      </c>
      <c r="D127" s="2">
        <f>8.45+0.03+0.01+0.02+0.15+0.02+0.1+0.02</f>
        <v>8.8</v>
      </c>
      <c r="E127" s="2">
        <f>52920+191.26+41.27+133.51+23.44+924.88+144.28+649.36+15.93+97.1+6.37</f>
        <v>55147.4</v>
      </c>
      <c r="F127" s="2">
        <f>6.02+0.02+0.02+0.11+0.02+0.07+0.01</f>
        <v>6.27</v>
      </c>
      <c r="G127" s="2">
        <v>0.02</v>
      </c>
    </row>
    <row r="128" ht="14.25" customHeight="1">
      <c r="B128" s="2" t="s">
        <v>172</v>
      </c>
      <c r="C128" s="2">
        <f>'End of Life'!D306</f>
        <v>27.56</v>
      </c>
      <c r="D128" s="2">
        <f>'End of Life'!E306</f>
        <v>0</v>
      </c>
      <c r="E128" s="2">
        <f>'End of Life'!F306</f>
        <v>66.26</v>
      </c>
      <c r="F128" s="2">
        <f>'End of Life'!G306</f>
        <v>0.06</v>
      </c>
      <c r="G128" s="2">
        <f>'End of Life'!H306</f>
        <v>0.44</v>
      </c>
    </row>
    <row r="129" ht="14.25" customHeight="1">
      <c r="A129" s="45" t="s">
        <v>173</v>
      </c>
      <c r="B129" s="46"/>
      <c r="C129" s="46">
        <f t="shared" ref="C129:G129" si="23">SUM(C124:C128)</f>
        <v>59846.84</v>
      </c>
      <c r="D129" s="46">
        <f t="shared" si="23"/>
        <v>285.12</v>
      </c>
      <c r="E129" s="46">
        <f t="shared" si="23"/>
        <v>1531847.61</v>
      </c>
      <c r="F129" s="46">
        <f t="shared" si="23"/>
        <v>717.46</v>
      </c>
      <c r="G129" s="46">
        <f t="shared" si="23"/>
        <v>24.42</v>
      </c>
      <c r="H129" s="1"/>
      <c r="I129" s="1"/>
      <c r="J129" s="1"/>
      <c r="K129" s="1"/>
      <c r="L129" s="1"/>
      <c r="M129" s="1"/>
      <c r="N129" s="1"/>
      <c r="O129" s="1"/>
      <c r="P129" s="1"/>
      <c r="Q129" s="1"/>
      <c r="R129" s="1"/>
      <c r="S129" s="1"/>
      <c r="T129" s="1"/>
      <c r="U129" s="1"/>
      <c r="V129" s="1"/>
      <c r="W129" s="1"/>
      <c r="X129" s="1"/>
      <c r="Y129" s="1"/>
      <c r="Z129" s="1"/>
    </row>
    <row r="130" ht="14.25" customHeight="1">
      <c r="A130" s="43" t="s">
        <v>93</v>
      </c>
      <c r="B130" s="2" t="s">
        <v>146</v>
      </c>
      <c r="C130" s="2">
        <f>4100+211.7+3800+5870+211.9+734.86+191.18+444.08</f>
        <v>15563.72</v>
      </c>
      <c r="D130" s="2">
        <f>183.74+0.92+10.29+1.31+1.84+1.92+0.5+1.75</f>
        <v>202.27</v>
      </c>
      <c r="E130" s="2">
        <f>43630+17020+70340+132970+3210+13530+3520+9720</f>
        <v>293940</v>
      </c>
      <c r="F130" s="2">
        <f>44.66+6.54+55.75+78.41+1.7+11.34+2.95+5.64</f>
        <v>206.99</v>
      </c>
      <c r="G130" s="2">
        <f>0.26+0.01+0.11+0.03+0.01+0.02+0.02</f>
        <v>0.46</v>
      </c>
    </row>
    <row r="131" ht="14.25" customHeight="1">
      <c r="B131" s="2" t="s">
        <v>171</v>
      </c>
      <c r="C131" s="2">
        <f>3230+186.19+432.07</f>
        <v>3848.26</v>
      </c>
      <c r="D131" s="2">
        <f>12.05+0.69+1.42</f>
        <v>14.16</v>
      </c>
      <c r="E131" s="2">
        <f>104240+6010+16830</f>
        <v>127080</v>
      </c>
      <c r="F131" s="2">
        <f>90.65+5.23+10.22</f>
        <v>106.1</v>
      </c>
      <c r="G131" s="2">
        <f>0.21+0.01+0.02</f>
        <v>0.24</v>
      </c>
    </row>
    <row r="132" ht="14.25" customHeight="1">
      <c r="B132" s="2" t="s">
        <v>16</v>
      </c>
      <c r="C132" s="2">
        <f>13.74+1560</f>
        <v>1573.74</v>
      </c>
      <c r="D132" s="2">
        <v>20.63</v>
      </c>
      <c r="E132" s="2">
        <f>219.33+40810</f>
        <v>41029.33</v>
      </c>
      <c r="F132" s="2">
        <f>0.34+205.13</f>
        <v>205.47</v>
      </c>
      <c r="G132" s="2">
        <f>18.35</f>
        <v>18.35</v>
      </c>
    </row>
    <row r="133" ht="14.25" customHeight="1">
      <c r="B133" s="2" t="s">
        <v>18</v>
      </c>
      <c r="C133" s="2">
        <f>8.41+1.38+14.38+22.39+2.37+9.31+0.93+7.13</f>
        <v>66.3</v>
      </c>
      <c r="D133" s="2">
        <f>0.02+0.04+0.06+0.01+0.02+0.02</f>
        <v>0.17</v>
      </c>
      <c r="E133" s="2">
        <f>140.19+22.95+239.87+373.5+39.6+155.36+15.48+118.95</f>
        <v>1105.9</v>
      </c>
      <c r="F133" s="2">
        <f>0.02+0.03+0.04+0.02+0.01</f>
        <v>0.12</v>
      </c>
      <c r="G133" s="2">
        <v>0.0</v>
      </c>
    </row>
    <row r="134" ht="14.25" customHeight="1">
      <c r="B134" s="2" t="s">
        <v>172</v>
      </c>
      <c r="C134" s="2">
        <f>'End of Life'!D325</f>
        <v>13.96</v>
      </c>
      <c r="D134" s="2">
        <f>'End of Life'!E325</f>
        <v>0</v>
      </c>
      <c r="E134" s="2">
        <f>'End of Life'!F325</f>
        <v>33.55</v>
      </c>
      <c r="F134" s="2">
        <f>'End of Life'!G325</f>
        <v>0.02</v>
      </c>
      <c r="G134" s="2">
        <f>'End of Life'!H325</f>
        <v>0.21</v>
      </c>
    </row>
    <row r="135" ht="14.25" customHeight="1">
      <c r="A135" s="45" t="s">
        <v>173</v>
      </c>
      <c r="B135" s="46"/>
      <c r="C135" s="46">
        <f t="shared" ref="C135:G135" si="24">SUM(C130:C134)</f>
        <v>21065.98</v>
      </c>
      <c r="D135" s="46">
        <f t="shared" si="24"/>
        <v>237.23</v>
      </c>
      <c r="E135" s="46">
        <f t="shared" si="24"/>
        <v>463188.78</v>
      </c>
      <c r="F135" s="46">
        <f t="shared" si="24"/>
        <v>518.7</v>
      </c>
      <c r="G135" s="46">
        <f t="shared" si="24"/>
        <v>19.26</v>
      </c>
      <c r="H135" s="1"/>
      <c r="I135" s="1"/>
      <c r="J135" s="1"/>
      <c r="K135" s="1"/>
      <c r="L135" s="1"/>
      <c r="M135" s="1"/>
      <c r="N135" s="1"/>
      <c r="O135" s="1"/>
      <c r="P135" s="1"/>
      <c r="Q135" s="1"/>
      <c r="R135" s="1"/>
      <c r="S135" s="1"/>
      <c r="T135" s="1"/>
      <c r="U135" s="1"/>
      <c r="V135" s="1"/>
      <c r="W135" s="1"/>
      <c r="X135" s="1"/>
      <c r="Y135" s="1"/>
      <c r="Z135" s="1"/>
    </row>
    <row r="136" ht="14.25" customHeight="1">
      <c r="A136" s="43" t="s">
        <v>184</v>
      </c>
      <c r="B136" s="2" t="s">
        <v>171</v>
      </c>
      <c r="C136" s="2">
        <v>16000.0</v>
      </c>
      <c r="D136" s="2">
        <v>205.39</v>
      </c>
      <c r="E136" s="2">
        <v>2360000.0</v>
      </c>
      <c r="F136" s="2">
        <v>641.25</v>
      </c>
      <c r="G136" s="2">
        <v>2.32</v>
      </c>
    </row>
    <row r="137" ht="14.25" customHeight="1">
      <c r="A137" s="45" t="s">
        <v>173</v>
      </c>
      <c r="B137" s="46"/>
      <c r="C137" s="46">
        <f t="shared" ref="C137:G137" si="25">C136</f>
        <v>16000</v>
      </c>
      <c r="D137" s="46">
        <f t="shared" si="25"/>
        <v>205.39</v>
      </c>
      <c r="E137" s="46">
        <f t="shared" si="25"/>
        <v>2360000</v>
      </c>
      <c r="F137" s="46">
        <f t="shared" si="25"/>
        <v>641.25</v>
      </c>
      <c r="G137" s="46">
        <f t="shared" si="25"/>
        <v>2.32</v>
      </c>
      <c r="H137" s="1"/>
      <c r="I137" s="1"/>
      <c r="J137" s="1"/>
      <c r="K137" s="1"/>
      <c r="L137" s="1"/>
      <c r="M137" s="1"/>
      <c r="N137" s="1"/>
      <c r="O137" s="1"/>
      <c r="P137" s="1"/>
      <c r="Q137" s="1"/>
      <c r="R137" s="1"/>
      <c r="S137" s="1"/>
      <c r="T137" s="1"/>
      <c r="U137" s="1"/>
      <c r="V137" s="1"/>
      <c r="W137" s="1"/>
      <c r="X137" s="1"/>
      <c r="Y137" s="1"/>
      <c r="Z137" s="1"/>
    </row>
    <row r="138" ht="14.25" customHeight="1">
      <c r="A138" s="43" t="s">
        <v>99</v>
      </c>
      <c r="B138" s="2" t="s">
        <v>146</v>
      </c>
      <c r="C138" s="2">
        <f>91.04+9.14</f>
        <v>100.18</v>
      </c>
      <c r="D138" s="2">
        <f>4.36+0.05</f>
        <v>4.41</v>
      </c>
      <c r="E138" s="2">
        <f>1330+231.11</f>
        <v>1561.11</v>
      </c>
      <c r="F138" s="2">
        <f>0.98+0.12</f>
        <v>1.1</v>
      </c>
      <c r="G138" s="2">
        <v>0.01</v>
      </c>
    </row>
    <row r="139" ht="14.25" customHeight="1">
      <c r="B139" s="2" t="s">
        <v>16</v>
      </c>
      <c r="C139" s="2">
        <v>0.32</v>
      </c>
      <c r="D139" s="2">
        <v>0.0</v>
      </c>
      <c r="E139" s="2">
        <v>8.5</v>
      </c>
      <c r="F139" s="2">
        <v>0.04</v>
      </c>
      <c r="G139" s="2">
        <v>0.0</v>
      </c>
    </row>
    <row r="140" ht="14.25" customHeight="1">
      <c r="B140" s="2" t="s">
        <v>18</v>
      </c>
      <c r="C140" s="2">
        <f>31.92+0.07</f>
        <v>31.99</v>
      </c>
      <c r="D140" s="2">
        <f>0.01</f>
        <v>0.01</v>
      </c>
      <c r="E140" s="2">
        <f>478.31+1.13+0.03</f>
        <v>479.47</v>
      </c>
      <c r="F140" s="2">
        <f>0.01</f>
        <v>0.01</v>
      </c>
      <c r="G140" s="2">
        <v>0.0</v>
      </c>
    </row>
    <row r="141" ht="14.25" customHeight="1">
      <c r="B141" s="2" t="s">
        <v>172</v>
      </c>
      <c r="C141" s="2">
        <f>'End of Life'!D334</f>
        <v>5.95</v>
      </c>
      <c r="D141" s="2">
        <f>'End of Life'!E334</f>
        <v>0</v>
      </c>
      <c r="E141" s="2">
        <f>'End of Life'!F334</f>
        <v>2.77</v>
      </c>
      <c r="F141" s="2">
        <f>'End of Life'!G334</f>
        <v>0</v>
      </c>
      <c r="G141" s="2">
        <f>'End of Life'!H334</f>
        <v>0</v>
      </c>
    </row>
    <row r="142" ht="14.25" customHeight="1">
      <c r="A142" s="45" t="s">
        <v>173</v>
      </c>
      <c r="B142" s="46"/>
      <c r="C142" s="46">
        <f t="shared" ref="C142:G142" si="26">SUM(C138:C141)</f>
        <v>138.44</v>
      </c>
      <c r="D142" s="46">
        <f t="shared" si="26"/>
        <v>4.42</v>
      </c>
      <c r="E142" s="46">
        <f t="shared" si="26"/>
        <v>2051.85</v>
      </c>
      <c r="F142" s="46">
        <f t="shared" si="26"/>
        <v>1.15</v>
      </c>
      <c r="G142" s="46">
        <f t="shared" si="26"/>
        <v>0.01</v>
      </c>
    </row>
    <row r="143" ht="14.25" customHeight="1">
      <c r="A143" s="43" t="s">
        <v>185</v>
      </c>
      <c r="B143" s="2" t="s">
        <v>146</v>
      </c>
      <c r="C143" s="2">
        <f>0.81+0.32+0.97+0.89+12.81+256.2+23.83+63.95+8.9+95.52+2.49+22.74</f>
        <v>489.43</v>
      </c>
      <c r="D143" s="2">
        <f>0.04+0.01+0.12+2.48+0.01+2.63+0.04+1.13+0.11+0.27</f>
        <v>6.84</v>
      </c>
      <c r="E143" s="2">
        <f>11.8+8.18+12.69+22.5+167.45+3350+380.28+1180+224.97+1070+26.51+255.31</f>
        <v>6709.69</v>
      </c>
      <c r="F143" s="2">
        <f>0.14+0.03+0.58+0.11+0.53+0.55+1.59+0.08+0.01+0.01+0.01</f>
        <v>3.64</v>
      </c>
      <c r="G143" s="2">
        <f>0.01</f>
        <v>0.01</v>
      </c>
    </row>
    <row r="144" ht="14.25" customHeight="1">
      <c r="B144" s="2" t="s">
        <v>171</v>
      </c>
      <c r="C144" s="2">
        <v>5.18</v>
      </c>
      <c r="D144" s="2">
        <v>0.01</v>
      </c>
      <c r="E144" s="2">
        <v>137.53</v>
      </c>
      <c r="F144" s="2">
        <v>0.1</v>
      </c>
      <c r="G144" s="2">
        <v>0.0</v>
      </c>
    </row>
    <row r="145" ht="14.25" customHeight="1">
      <c r="B145" s="2" t="s">
        <v>16</v>
      </c>
      <c r="C145" s="2">
        <v>16.23</v>
      </c>
      <c r="D145" s="2">
        <v>0.21</v>
      </c>
      <c r="E145" s="2">
        <v>425.08</v>
      </c>
      <c r="F145" s="2">
        <v>2.14</v>
      </c>
      <c r="G145" s="2">
        <v>0.19</v>
      </c>
    </row>
    <row r="146" ht="14.25" customHeight="1">
      <c r="B146" s="2" t="s">
        <v>18</v>
      </c>
      <c r="C146" s="2">
        <f>0.01+0.02+0.33+0.13+0.17+0.11+0.23+0.06+0.16</f>
        <v>1.22</v>
      </c>
      <c r="D146" s="2">
        <v>0.0</v>
      </c>
      <c r="E146" s="2">
        <f>0.04+0.07+0.02+0.18+0.28+5.51+2.17+2.75+1.84+3.86+1.06+0.92+2.63</f>
        <v>21.33</v>
      </c>
      <c r="F146" s="2">
        <f>0</f>
        <v>0</v>
      </c>
      <c r="G146" s="2">
        <v>0.0</v>
      </c>
    </row>
    <row r="147" ht="14.25" customHeight="1">
      <c r="B147" s="2" t="s">
        <v>172</v>
      </c>
      <c r="C147" s="2">
        <f>'End of Life'!D350</f>
        <v>6.28</v>
      </c>
      <c r="D147" s="2">
        <f>'End of Life'!E350</f>
        <v>0</v>
      </c>
      <c r="E147" s="2">
        <f>'End of Life'!F350</f>
        <v>2.93</v>
      </c>
      <c r="F147" s="2">
        <f>'End of Life'!G350</f>
        <v>0</v>
      </c>
      <c r="G147" s="2">
        <f>'End of Life'!H350</f>
        <v>0</v>
      </c>
    </row>
    <row r="148" ht="14.25" customHeight="1">
      <c r="A148" s="45" t="s">
        <v>173</v>
      </c>
      <c r="B148" s="46"/>
      <c r="C148" s="46">
        <f t="shared" ref="C148:G148" si="27">SUM(C143:C147)</f>
        <v>518.34</v>
      </c>
      <c r="D148" s="46">
        <f t="shared" si="27"/>
        <v>7.06</v>
      </c>
      <c r="E148" s="46">
        <f t="shared" si="27"/>
        <v>7296.56</v>
      </c>
      <c r="F148" s="46">
        <f t="shared" si="27"/>
        <v>5.88</v>
      </c>
      <c r="G148" s="46">
        <f t="shared" si="27"/>
        <v>0.2</v>
      </c>
      <c r="H148" s="1"/>
    </row>
    <row r="149" ht="14.25" customHeight="1">
      <c r="A149" s="43" t="s">
        <v>102</v>
      </c>
      <c r="B149" s="2" t="s">
        <v>146</v>
      </c>
      <c r="C149" s="2">
        <f>865.55+585.48+86.47+64.83+501.83+47.36+144.19</f>
        <v>2295.71</v>
      </c>
      <c r="D149" s="2">
        <f>28.65+24.05+0.43+0.63+46.35+0.46+5.92</f>
        <v>106.49</v>
      </c>
      <c r="E149" s="2">
        <f>13170+10830+2190+847.4+8580+619.06+2670</f>
        <v>38906.46</v>
      </c>
      <c r="F149" s="2">
        <f>7.26+4.88+1.1+0.4+5.79+0.29+1.2</f>
        <v>20.92</v>
      </c>
      <c r="G149" s="2">
        <f>0.04+0.02+0.02+0.01</f>
        <v>0.09</v>
      </c>
    </row>
    <row r="150" ht="14.25" customHeight="1">
      <c r="B150" s="2" t="s">
        <v>171</v>
      </c>
      <c r="C150" s="2">
        <v>10.35</v>
      </c>
      <c r="D150" s="2">
        <v>0.03</v>
      </c>
      <c r="E150" s="2">
        <v>275.06</v>
      </c>
      <c r="F150" s="2">
        <v>0.2</v>
      </c>
      <c r="G150" s="2">
        <v>0.0</v>
      </c>
    </row>
    <row r="151" ht="14.25" customHeight="1">
      <c r="B151" s="2" t="s">
        <v>16</v>
      </c>
      <c r="C151" s="2">
        <v>32.46</v>
      </c>
      <c r="D151" s="2">
        <v>0.43</v>
      </c>
      <c r="E151" s="2">
        <v>850.15</v>
      </c>
      <c r="F151" s="2">
        <v>4.28</v>
      </c>
      <c r="G151" s="2">
        <v>0.38</v>
      </c>
    </row>
    <row r="152" ht="14.25" customHeight="1">
      <c r="B152" s="2" t="s">
        <v>18</v>
      </c>
      <c r="C152" s="2">
        <f>5.71+1.51+1.07+0.08</f>
        <v>8.37</v>
      </c>
      <c r="D152" s="2">
        <f>0.02</f>
        <v>0.02</v>
      </c>
      <c r="E152" s="2">
        <f>95.22+25.21+17.83+1.39</f>
        <v>139.65</v>
      </c>
      <c r="F152" s="2">
        <f>0.01</f>
        <v>0.01</v>
      </c>
      <c r="G152" s="2">
        <v>0.0</v>
      </c>
    </row>
    <row r="153" ht="14.25" customHeight="1">
      <c r="B153" s="2" t="s">
        <v>172</v>
      </c>
      <c r="C153" s="2">
        <f>'End of Life'!D362</f>
        <v>139.86</v>
      </c>
      <c r="D153" s="2">
        <f>'End of Life'!E362</f>
        <v>0.01</v>
      </c>
      <c r="E153" s="2">
        <f>'End of Life'!F362</f>
        <v>65.13</v>
      </c>
      <c r="F153" s="2">
        <f>'End of Life'!G362</f>
        <v>0.06</v>
      </c>
      <c r="G153" s="2">
        <f>'End of Life'!H362</f>
        <v>0.15</v>
      </c>
    </row>
    <row r="154" ht="14.25" customHeight="1">
      <c r="A154" s="45" t="s">
        <v>173</v>
      </c>
      <c r="B154" s="46"/>
      <c r="C154" s="46">
        <f t="shared" ref="C154:G154" si="28">SUM(C149:C153)</f>
        <v>2486.75</v>
      </c>
      <c r="D154" s="46">
        <f t="shared" si="28"/>
        <v>106.98</v>
      </c>
      <c r="E154" s="46">
        <f t="shared" si="28"/>
        <v>40236.45</v>
      </c>
      <c r="F154" s="46">
        <f t="shared" si="28"/>
        <v>25.47</v>
      </c>
      <c r="G154" s="46">
        <f t="shared" si="28"/>
        <v>0.62</v>
      </c>
    </row>
    <row r="155" ht="14.25" customHeight="1">
      <c r="A155" s="43" t="s">
        <v>186</v>
      </c>
      <c r="B155" s="2" t="s">
        <v>146</v>
      </c>
      <c r="C155" s="2">
        <f>6300+2570+337.1+86.43+101.13+250.42+81.87+59.13+74.45</f>
        <v>9860.53</v>
      </c>
      <c r="D155" s="2">
        <f>1.61+0.02+0.28+0.86+0.35+0.25+1.15+3.66+8</f>
        <v>16.18</v>
      </c>
      <c r="E155" s="2">
        <f>162220+71880+6840+2140+2050+5080+1660+1190+2020</f>
        <v>255080</v>
      </c>
      <c r="F155" s="2">
        <f>1.1+0.65+1.08+3.29+1.33+1.11+4.44+22.81+46.39</f>
        <v>82.2</v>
      </c>
      <c r="G155" s="2">
        <f>0.85+0.42+0.01+0.01</f>
        <v>1.29</v>
      </c>
    </row>
    <row r="156" ht="14.25" customHeight="1">
      <c r="B156" s="2" t="s">
        <v>171</v>
      </c>
      <c r="C156" s="2">
        <v>16.39</v>
      </c>
      <c r="D156" s="2">
        <v>0.21</v>
      </c>
      <c r="E156" s="2">
        <v>2410.0</v>
      </c>
      <c r="F156" s="2">
        <v>0.66</v>
      </c>
      <c r="G156" s="2">
        <v>0.0</v>
      </c>
    </row>
    <row r="157" ht="14.25" customHeight="1">
      <c r="B157" s="2" t="s">
        <v>16</v>
      </c>
      <c r="C157" s="2">
        <f>202.7+114.93+14.47</f>
        <v>332.1</v>
      </c>
      <c r="D157" s="2">
        <f>0.64+0.39+0.04</f>
        <v>1.07</v>
      </c>
      <c r="E157" s="2">
        <f>5380+3160+302.93</f>
        <v>8842.93</v>
      </c>
      <c r="F157" s="2">
        <f>3.48+2.35+0.22</f>
        <v>6.05</v>
      </c>
      <c r="G157" s="2">
        <f>0.02+0.01</f>
        <v>0.03</v>
      </c>
    </row>
    <row r="158" ht="14.25" customHeight="1">
      <c r="B158" s="2" t="s">
        <v>18</v>
      </c>
      <c r="C158" s="2">
        <f>18.01+9.01+10.51+3.3+2.52+6.24+1.91+0.12+1.71</f>
        <v>53.33</v>
      </c>
      <c r="D158" s="2">
        <f>0.01+0.02+0.01+0.01+0.03+0.02+0.05</f>
        <v>0.15</v>
      </c>
      <c r="E158" s="2">
        <f>300.4+150.2+175.24+55.07+42.06+104.14+31.78+2.07+28.54</f>
        <v>889.5</v>
      </c>
      <c r="F158" s="2">
        <f>0.01+0.01+0.02+0.02+0.03</f>
        <v>0.09</v>
      </c>
      <c r="G158" s="2">
        <f>0</f>
        <v>0</v>
      </c>
    </row>
    <row r="159" ht="14.25" customHeight="1">
      <c r="B159" s="2" t="s">
        <v>172</v>
      </c>
      <c r="C159" s="2">
        <f>'End of Life'!D377</f>
        <v>480.63</v>
      </c>
      <c r="D159" s="2">
        <f>'End of Life'!E377</f>
        <v>0.06</v>
      </c>
      <c r="E159" s="2">
        <f>'End of Life'!F377</f>
        <v>97.52</v>
      </c>
      <c r="F159" s="2">
        <f>'End of Life'!G377</f>
        <v>0.71</v>
      </c>
      <c r="G159" s="2">
        <f>'End of Life'!H377</f>
        <v>0</v>
      </c>
    </row>
    <row r="160" ht="14.25" customHeight="1">
      <c r="A160" s="45" t="s">
        <v>173</v>
      </c>
      <c r="B160" s="46"/>
      <c r="C160" s="46">
        <f t="shared" ref="C160:G160" si="29">SUM(C155:C159)</f>
        <v>10742.98</v>
      </c>
      <c r="D160" s="46">
        <f t="shared" si="29"/>
        <v>17.67</v>
      </c>
      <c r="E160" s="46">
        <f t="shared" si="29"/>
        <v>267319.95</v>
      </c>
      <c r="F160" s="46">
        <f t="shared" si="29"/>
        <v>89.71</v>
      </c>
      <c r="G160" s="46">
        <f t="shared" si="29"/>
        <v>1.32</v>
      </c>
    </row>
    <row r="161" ht="14.25" customHeight="1">
      <c r="A161" s="43" t="s">
        <v>106</v>
      </c>
      <c r="B161" s="2" t="s">
        <v>146</v>
      </c>
      <c r="C161" s="2">
        <f>1210+3570+130.03+19.64+28.89+67.42+69.88</f>
        <v>5095.86</v>
      </c>
      <c r="D161" s="2">
        <f>1.53+4.54+0.45+0.06+0.1+0.23+0.02</f>
        <v>6.93</v>
      </c>
      <c r="E161" s="2">
        <f>31090+91920+2640+486.68+586.68+1370+1400</f>
        <v>129493.36</v>
      </c>
      <c r="F161" s="2">
        <f>8.89+26.29+1.71+0.25+0.38+0.89+0.76</f>
        <v>39.17</v>
      </c>
      <c r="G161" s="2">
        <f>0.16+0.48</f>
        <v>0.64</v>
      </c>
    </row>
    <row r="162" ht="14.25" customHeight="1">
      <c r="B162" s="2" t="s">
        <v>171</v>
      </c>
      <c r="C162" s="2">
        <f>SUM(Production!D676:D677)</f>
        <v>73.22590292</v>
      </c>
      <c r="D162" s="2">
        <f>SUM(Production!E676:E677)</f>
        <v>0.9400048694</v>
      </c>
      <c r="E162" s="2">
        <f>SUM(Production!F676:F677)</f>
        <v>10787.63857</v>
      </c>
      <c r="F162" s="2">
        <f>SUM(Production!G676:G677)</f>
        <v>2.93473326</v>
      </c>
      <c r="G162" s="2">
        <f>SUM(Production!H676:H677)</f>
        <v>0.01062261283</v>
      </c>
    </row>
    <row r="163" ht="14.25" customHeight="1">
      <c r="B163" s="2" t="s">
        <v>16</v>
      </c>
      <c r="C163" s="2">
        <f>Production!D673+Production!D674+Production!D675+Production!D695</f>
        <v>207.4229773</v>
      </c>
      <c r="D163" s="2">
        <f>Production!E673+Production!E674+Production!E675+Production!E695</f>
        <v>0.5893366167</v>
      </c>
      <c r="E163" s="2">
        <f>Production!F673+Production!F674+Production!F675+Production!F695</f>
        <v>5236.046824</v>
      </c>
      <c r="F163" s="2">
        <f>Production!G673+Production!G674+Production!G675+Production!G695</f>
        <v>3.646344995</v>
      </c>
      <c r="G163" s="2">
        <f>Production!H673+Production!H674+Production!H675+Production!H695</f>
        <v>0.01585672194</v>
      </c>
    </row>
    <row r="164" ht="14.25" customHeight="1">
      <c r="B164" s="2" t="s">
        <v>18</v>
      </c>
      <c r="C164" s="2">
        <f>2.76+10.21+4.05+0.75+0.72+1.68+0.15</f>
        <v>20.32</v>
      </c>
      <c r="D164" s="2">
        <f>0.05</f>
        <v>0.05</v>
      </c>
      <c r="E164" s="2">
        <f>46.06+170.23+67.59+12.52+12.02+28.04+2.45</f>
        <v>338.91</v>
      </c>
      <c r="F164" s="2">
        <f>0.01+0.02+0.01</f>
        <v>0.04</v>
      </c>
      <c r="G164" s="2">
        <f>0</f>
        <v>0</v>
      </c>
    </row>
    <row r="165" ht="14.25" customHeight="1">
      <c r="B165" s="2" t="s">
        <v>172</v>
      </c>
      <c r="C165" s="2">
        <f>'End of Life'!D392+'End of Life'!D398</f>
        <v>307.33</v>
      </c>
      <c r="D165" s="2">
        <f>'End of Life'!E392+'End of Life'!E398</f>
        <v>0.05</v>
      </c>
      <c r="E165" s="2">
        <f>'End of Life'!F392+'End of Life'!F398</f>
        <v>62.36</v>
      </c>
      <c r="F165" s="2">
        <f>'End of Life'!G392+'End of Life'!G398</f>
        <v>0.45</v>
      </c>
      <c r="G165" s="2">
        <f>'End of Life'!H392+'End of Life'!H398</f>
        <v>0</v>
      </c>
    </row>
    <row r="166" ht="14.25" customHeight="1">
      <c r="A166" s="45" t="s">
        <v>173</v>
      </c>
      <c r="B166" s="46"/>
      <c r="C166" s="46">
        <f t="shared" ref="C166:G166" si="30">SUM(C161:C165)</f>
        <v>5704.15888</v>
      </c>
      <c r="D166" s="46">
        <f t="shared" si="30"/>
        <v>8.559341486</v>
      </c>
      <c r="E166" s="46">
        <f t="shared" si="30"/>
        <v>145918.3154</v>
      </c>
      <c r="F166" s="46">
        <f t="shared" si="30"/>
        <v>46.24107826</v>
      </c>
      <c r="G166" s="46">
        <f t="shared" si="30"/>
        <v>0.6664793348</v>
      </c>
    </row>
    <row r="167" ht="14.25" customHeight="1">
      <c r="A167" s="43" t="s">
        <v>107</v>
      </c>
      <c r="B167" s="2" t="s">
        <v>146</v>
      </c>
      <c r="C167" s="2">
        <f>79660+2560+2840+428.19+1370+283.57</f>
        <v>87141.76</v>
      </c>
      <c r="D167" s="2">
        <f>101.18+8.76+3.32+0.61+1.73+1.15</f>
        <v>116.75</v>
      </c>
      <c r="E167" s="2">
        <f>2050000+51920+68860+11980+35150+5500</f>
        <v>2223410</v>
      </c>
      <c r="F167" s="2">
        <f>586.47+33.65+18.06+3.8+10.05+3.49</f>
        <v>655.52</v>
      </c>
      <c r="G167" s="2">
        <f>10.8+0.07+0.33+0.07+0.19+0.01</f>
        <v>11.47</v>
      </c>
    </row>
    <row r="168" ht="14.25" customHeight="1">
      <c r="B168" s="2" t="s">
        <v>171</v>
      </c>
      <c r="C168" s="2">
        <f>2400+112.03+132.57+112.03*3</f>
        <v>2980.69</v>
      </c>
      <c r="D168" s="2">
        <f>30.81+1.44*4+1.7</f>
        <v>38.27</v>
      </c>
      <c r="E168" s="2">
        <f>353580+16500*4+19530</f>
        <v>439110</v>
      </c>
      <c r="F168" s="2">
        <f>96.19+4.49*4+5.31</f>
        <v>119.46</v>
      </c>
      <c r="G168" s="2">
        <f>0.35+0.02*5</f>
        <v>0.45</v>
      </c>
    </row>
    <row r="169" ht="14.25" customHeight="1">
      <c r="B169" s="2" t="s">
        <v>16</v>
      </c>
      <c r="C169" s="2">
        <f>SUM(Production!D707:D708)+Production!D730</f>
        <v>2692.037532</v>
      </c>
      <c r="D169" s="2">
        <f>SUM(Production!E707:E708)+Production!E730</f>
        <v>7.806217942</v>
      </c>
      <c r="E169" s="2">
        <f>SUM(Production!F707:F708)+Production!F730</f>
        <v>68655.10509</v>
      </c>
      <c r="F169" s="2">
        <f>SUM(Production!G707:G708)+Production!G730</f>
        <v>50.36766407</v>
      </c>
      <c r="G169" s="2">
        <f>SUM(Production!H707:H708)+Production!H730</f>
        <v>0.2156373819</v>
      </c>
    </row>
    <row r="170" ht="14.25" customHeight="1">
      <c r="B170" s="2" t="s">
        <v>18</v>
      </c>
      <c r="C170" s="2">
        <f>227.69+79.7</f>
        <v>307.39</v>
      </c>
      <c r="D170" s="2">
        <f>0.61+0.21</f>
        <v>0.82</v>
      </c>
      <c r="E170" s="2">
        <f>3800+1330</f>
        <v>5130</v>
      </c>
      <c r="F170" s="2">
        <f>0.43+0.15</f>
        <v>0.58</v>
      </c>
      <c r="G170" s="2">
        <f>0</f>
        <v>0</v>
      </c>
    </row>
    <row r="171" ht="14.25" customHeight="1">
      <c r="B171" s="2" t="s">
        <v>172</v>
      </c>
      <c r="C171" s="2">
        <f>'End of Life'!D412+'End of Life'!D418</f>
        <v>5576.7</v>
      </c>
      <c r="D171" s="2">
        <f>'End of Life'!E412+'End of Life'!E418</f>
        <v>0.78</v>
      </c>
      <c r="E171" s="2">
        <f>'End of Life'!F412+'End of Life'!F418</f>
        <v>1131.62</v>
      </c>
      <c r="F171" s="2">
        <f>'End of Life'!G412+'End of Life'!G418</f>
        <v>8.26</v>
      </c>
      <c r="G171" s="2">
        <f>'End of Life'!H412+'End of Life'!H418</f>
        <v>0.05</v>
      </c>
    </row>
    <row r="172" ht="14.25" customHeight="1">
      <c r="A172" s="45" t="s">
        <v>173</v>
      </c>
      <c r="B172" s="46"/>
      <c r="C172" s="46">
        <f t="shared" ref="C172:G172" si="31">SUM(C167:C171)</f>
        <v>98698.57753</v>
      </c>
      <c r="D172" s="46">
        <f t="shared" si="31"/>
        <v>164.4262179</v>
      </c>
      <c r="E172" s="46">
        <f t="shared" si="31"/>
        <v>2737436.725</v>
      </c>
      <c r="F172" s="46">
        <f t="shared" si="31"/>
        <v>834.1876641</v>
      </c>
      <c r="G172" s="46">
        <f t="shared" si="31"/>
        <v>12.18563738</v>
      </c>
      <c r="I172" s="2"/>
      <c r="J172" s="2"/>
      <c r="K172" s="2"/>
      <c r="L172" s="2"/>
      <c r="M172" s="2"/>
    </row>
    <row r="173" ht="14.25" customHeight="1">
      <c r="A173" s="43" t="s">
        <v>187</v>
      </c>
      <c r="B173" s="2" t="s">
        <v>146</v>
      </c>
      <c r="C173" s="2">
        <f>195.74+36.35+28.59+138.09+3.87+21.61</f>
        <v>424.25</v>
      </c>
      <c r="D173" s="2">
        <f>0.04+0.33+0.64+0.09+0.07+0.03</f>
        <v>1.2</v>
      </c>
      <c r="E173" s="2">
        <f>2530+1090+637.45+2740+78.47+645.54</f>
        <v>7721.46</v>
      </c>
      <c r="F173" s="2">
        <f>0.23+0.1+2.53+0.35+0.38+1.45</f>
        <v>5.04</v>
      </c>
      <c r="G173" s="2">
        <v>0.05</v>
      </c>
      <c r="I173" s="2"/>
      <c r="J173" s="2"/>
      <c r="K173" s="2"/>
      <c r="L173" s="2"/>
      <c r="M173" s="2"/>
    </row>
    <row r="174" ht="14.25" customHeight="1">
      <c r="B174" s="2" t="s">
        <v>171</v>
      </c>
      <c r="C174" s="2">
        <f>Production!D745+Production!D749</f>
        <v>44.56402248</v>
      </c>
      <c r="D174" s="2">
        <f>Production!E745+Production!E749</f>
        <v>0.09868594292</v>
      </c>
      <c r="E174" s="2">
        <f>Production!F745+Production!F749</f>
        <v>1045.628421</v>
      </c>
      <c r="F174" s="2">
        <f>Production!G745+Production!G749</f>
        <v>0.6788991605</v>
      </c>
      <c r="G174" s="2">
        <f>Production!H745+Production!H749</f>
        <v>0.002667361423</v>
      </c>
      <c r="I174" s="2"/>
      <c r="J174" s="2"/>
      <c r="K174" s="2"/>
      <c r="L174" s="2"/>
      <c r="M174" s="2"/>
    </row>
    <row r="175" ht="14.25" customHeight="1">
      <c r="B175" s="2" t="s">
        <v>16</v>
      </c>
      <c r="C175" s="2">
        <f>Production!D748</f>
        <v>42.60667598</v>
      </c>
      <c r="D175" s="2">
        <f>Production!E748</f>
        <v>0.55994116</v>
      </c>
      <c r="E175" s="2">
        <f>Production!F748</f>
        <v>1112.033089</v>
      </c>
      <c r="F175" s="2">
        <f>Production!G748</f>
        <v>5.559164795</v>
      </c>
      <c r="G175" s="2">
        <f>Production!H748</f>
        <v>0.4968763265</v>
      </c>
    </row>
    <row r="176" ht="14.25" customHeight="1">
      <c r="B176" s="2" t="s">
        <v>18</v>
      </c>
      <c r="C176" s="2">
        <f>9.2+5.68+3.88+3.86+1.8+0.09+0.41</f>
        <v>24.92</v>
      </c>
      <c r="D176" s="2">
        <f>0.02+0.01+0.01+0.02</f>
        <v>0.06</v>
      </c>
      <c r="E176" s="2">
        <f>149.16+92.06+61.59+54.69+28.55+1.49+6.83</f>
        <v>394.37</v>
      </c>
      <c r="F176" s="2">
        <f>0.01+0.01+0.01+0.02</f>
        <v>0.05</v>
      </c>
      <c r="G176" s="2">
        <v>0.0</v>
      </c>
    </row>
    <row r="177" ht="14.25" customHeight="1">
      <c r="B177" s="2" t="s">
        <v>172</v>
      </c>
      <c r="C177" s="2">
        <f>'End of Life'!D431</f>
        <v>52.72</v>
      </c>
      <c r="D177" s="2">
        <f>'End of Life'!E431</f>
        <v>0</v>
      </c>
      <c r="E177" s="2">
        <f>'End of Life'!F431</f>
        <v>24.55</v>
      </c>
      <c r="F177" s="2">
        <f>'End of Life'!G431</f>
        <v>0.02</v>
      </c>
      <c r="G177" s="2">
        <f>'End of Life'!H431</f>
        <v>0.06</v>
      </c>
    </row>
    <row r="178" ht="14.25" customHeight="1">
      <c r="A178" s="45" t="s">
        <v>173</v>
      </c>
      <c r="B178" s="46"/>
      <c r="C178" s="46">
        <f t="shared" ref="C178:G178" si="32">SUM(C173:C177)</f>
        <v>589.0606985</v>
      </c>
      <c r="D178" s="46">
        <f t="shared" si="32"/>
        <v>1.918627103</v>
      </c>
      <c r="E178" s="46">
        <f t="shared" si="32"/>
        <v>10298.04151</v>
      </c>
      <c r="F178" s="46">
        <f t="shared" si="32"/>
        <v>11.34806396</v>
      </c>
      <c r="G178" s="46">
        <f t="shared" si="32"/>
        <v>0.609543688</v>
      </c>
    </row>
    <row r="179" ht="14.25" customHeight="1">
      <c r="A179" s="43" t="s">
        <v>109</v>
      </c>
      <c r="B179" s="2" t="s">
        <v>146</v>
      </c>
      <c r="C179" s="2">
        <f>395.16+2.94+11450</f>
        <v>11848.1</v>
      </c>
      <c r="D179" s="2">
        <f>3.83+0.01+1060</f>
        <v>1063.84</v>
      </c>
      <c r="E179" s="2">
        <f>5170+74.34+195680</f>
        <v>200924.34</v>
      </c>
      <c r="F179" s="2">
        <f>2.46+0.04+132.2</f>
        <v>134.7</v>
      </c>
      <c r="G179" s="2">
        <f>0.01+0.52</f>
        <v>0.53</v>
      </c>
    </row>
    <row r="180" ht="14.25" customHeight="1">
      <c r="B180" s="2" t="s">
        <v>171</v>
      </c>
      <c r="C180" s="2">
        <f>Production!D765</f>
        <v>10.35431739</v>
      </c>
      <c r="D180" s="2">
        <f>Production!E765</f>
        <v>0.0251651463</v>
      </c>
      <c r="E180" s="2">
        <f>Production!F765</f>
        <v>275.0613427</v>
      </c>
      <c r="F180" s="2">
        <f>Production!G765</f>
        <v>0.2015771593</v>
      </c>
      <c r="G180" s="2">
        <f>Production!H765</f>
        <v>0.000763250123</v>
      </c>
    </row>
    <row r="181" ht="14.25" customHeight="1">
      <c r="B181" s="2" t="s">
        <v>16</v>
      </c>
      <c r="C181" s="2">
        <f>Production!D764</f>
        <v>32.85073226</v>
      </c>
      <c r="D181" s="2">
        <f>Production!E764</f>
        <v>0.4308351222</v>
      </c>
      <c r="E181" s="2">
        <f>Production!F764</f>
        <v>855.4782881</v>
      </c>
      <c r="F181" s="2">
        <f>Production!G764</f>
        <v>4.275971333</v>
      </c>
      <c r="G181" s="2">
        <f>Production!H764</f>
        <v>0.382212138</v>
      </c>
    </row>
    <row r="182" ht="14.25" customHeight="1">
      <c r="B182" s="2" t="s">
        <v>18</v>
      </c>
      <c r="C182" s="2">
        <f>0.63+0.05+0.39</f>
        <v>1.07</v>
      </c>
      <c r="D182" s="2">
        <v>0.0</v>
      </c>
      <c r="E182" s="2">
        <f>8.6+0.61+5.33</f>
        <v>14.54</v>
      </c>
      <c r="F182" s="2">
        <f>0</f>
        <v>0</v>
      </c>
      <c r="G182" s="2">
        <v>0.0</v>
      </c>
    </row>
    <row r="183" ht="14.25" customHeight="1">
      <c r="B183" s="2" t="s">
        <v>172</v>
      </c>
      <c r="C183" s="2">
        <f>'End of Life'!D438</f>
        <v>13.01</v>
      </c>
      <c r="D183" s="2">
        <f>'End of Life'!E438</f>
        <v>0</v>
      </c>
      <c r="E183" s="2">
        <f>'End of Life'!F438</f>
        <v>6.06</v>
      </c>
      <c r="F183" s="2">
        <f>'End of Life'!G438</f>
        <v>0</v>
      </c>
      <c r="G183" s="2">
        <f>'End of Life'!H438</f>
        <v>0.02</v>
      </c>
    </row>
    <row r="184" ht="14.25" customHeight="1">
      <c r="A184" s="45" t="s">
        <v>173</v>
      </c>
      <c r="B184" s="46"/>
      <c r="C184" s="46">
        <f t="shared" ref="C184:G184" si="33">SUM(C179:C183)</f>
        <v>11905.38505</v>
      </c>
      <c r="D184" s="46">
        <f t="shared" si="33"/>
        <v>1064.296</v>
      </c>
      <c r="E184" s="46">
        <f t="shared" si="33"/>
        <v>202075.4796</v>
      </c>
      <c r="F184" s="46">
        <f t="shared" si="33"/>
        <v>139.1775485</v>
      </c>
      <c r="G184" s="46">
        <f t="shared" si="33"/>
        <v>0.9329753881</v>
      </c>
    </row>
    <row r="185" ht="14.25" customHeight="1">
      <c r="A185" s="43" t="s">
        <v>111</v>
      </c>
      <c r="B185" s="2" t="s">
        <v>146</v>
      </c>
      <c r="C185" s="2">
        <f>28.99+1.08+2.23+7.03+1.96</f>
        <v>41.29</v>
      </c>
      <c r="D185" s="2">
        <f>0.04+0.01</f>
        <v>0.05</v>
      </c>
      <c r="E185" s="2">
        <f>746.2+21.9+55.29+93.07+39.36</f>
        <v>955.82</v>
      </c>
      <c r="F185" s="2">
        <f>0.21+0.01+0.03+0.05+0.02</f>
        <v>0.32</v>
      </c>
      <c r="G185" s="2">
        <v>0.0</v>
      </c>
    </row>
    <row r="186" ht="14.25" customHeight="1">
      <c r="B186" s="2" t="s">
        <v>16</v>
      </c>
      <c r="C186" s="2">
        <f>Production!D784+Production!D785</f>
        <v>840.3613043</v>
      </c>
      <c r="D186" s="2">
        <f>Production!E784+Production!E785</f>
        <v>2.136970279</v>
      </c>
      <c r="E186" s="2">
        <f>Production!F784+Production!F785</f>
        <v>20167.89474</v>
      </c>
      <c r="F186" s="2">
        <f>Production!G784+Production!G785</f>
        <v>14.44792394</v>
      </c>
      <c r="G186" s="2">
        <f>Production!H784+Production!H785</f>
        <v>0.05733070579</v>
      </c>
    </row>
    <row r="187" ht="14.25" customHeight="1">
      <c r="B187" s="2" t="s">
        <v>18</v>
      </c>
      <c r="C187" s="2">
        <f>0.08+0.03+0.09+0.06</f>
        <v>0.26</v>
      </c>
      <c r="D187" s="2">
        <f>0</f>
        <v>0</v>
      </c>
      <c r="E187" s="2">
        <f>1.38+0.56+1.42+1+0.07</f>
        <v>4.43</v>
      </c>
      <c r="F187" s="2">
        <v>0.0</v>
      </c>
      <c r="G187" s="2">
        <v>0.0</v>
      </c>
    </row>
    <row r="188" ht="14.25" customHeight="1">
      <c r="B188" s="2" t="s">
        <v>172</v>
      </c>
      <c r="C188" s="2">
        <f>'End of Life'!D451</f>
        <v>105.04</v>
      </c>
      <c r="D188" s="2">
        <f>'End of Life'!E451</f>
        <v>0</v>
      </c>
      <c r="E188" s="2">
        <f>'End of Life'!F451</f>
        <v>21.28</v>
      </c>
      <c r="F188" s="2">
        <f>'End of Life'!G451</f>
        <v>0.16</v>
      </c>
      <c r="G188" s="2">
        <f>'End of Life'!H451</f>
        <v>0</v>
      </c>
    </row>
    <row r="189" ht="14.25" customHeight="1">
      <c r="A189" s="45" t="s">
        <v>173</v>
      </c>
      <c r="B189" s="46"/>
      <c r="C189" s="46">
        <f t="shared" ref="C189:G189" si="34">SUM(C186:C188)</f>
        <v>945.6613043</v>
      </c>
      <c r="D189" s="46">
        <f t="shared" si="34"/>
        <v>2.136970279</v>
      </c>
      <c r="E189" s="46">
        <f t="shared" si="34"/>
        <v>20193.60474</v>
      </c>
      <c r="F189" s="46">
        <f t="shared" si="34"/>
        <v>14.60792394</v>
      </c>
      <c r="G189" s="46">
        <f t="shared" si="34"/>
        <v>0.05733070579</v>
      </c>
      <c r="I189" s="2"/>
      <c r="J189" s="2"/>
      <c r="K189" s="2"/>
      <c r="L189" s="2"/>
      <c r="M189" s="2"/>
    </row>
    <row r="190" ht="14.25" customHeight="1">
      <c r="A190" s="43" t="s">
        <v>112</v>
      </c>
      <c r="B190" s="2" t="s">
        <v>146</v>
      </c>
      <c r="C190" s="2">
        <f>1560+31470+1090+325.06+126.65+93.5+271.85+680.77+1010+314.01</f>
        <v>36941.84</v>
      </c>
      <c r="D190" s="2">
        <f>1.98+39.97+3.72+1.11+0.43+0.27+0.79+14.68+0.34+0.06</f>
        <v>63.35</v>
      </c>
      <c r="E190" s="2">
        <f>40150+810000+22060+6600+2570+2320+6740+18460+20240+5190</f>
        <v>934330</v>
      </c>
      <c r="F190" s="2">
        <f>11.48+231.65+14.3+4.28+1.67+1.2+3.49+10.1+11.02+1.24</f>
        <v>290.43</v>
      </c>
      <c r="G190" s="2">
        <f>0.21+4.27+0.03+0.01+0.01+0.02+0.02+0.01</f>
        <v>4.58</v>
      </c>
    </row>
    <row r="191" ht="14.25" customHeight="1">
      <c r="B191" s="2" t="s">
        <v>171</v>
      </c>
      <c r="C191" s="2">
        <f>SUM(Production!D821:D828)</f>
        <v>4396.139811</v>
      </c>
      <c r="D191" s="2">
        <f>SUM(Production!E821:E828)</f>
        <v>2.832660812</v>
      </c>
      <c r="E191" s="2">
        <f>SUM(Production!F821:F828)</f>
        <v>72174.79111</v>
      </c>
      <c r="F191" s="2">
        <f>SUM(Production!G821:G828)</f>
        <v>3.639509691</v>
      </c>
      <c r="G191" s="2">
        <f>SUM(Production!H821:H828)</f>
        <v>0.02038661928</v>
      </c>
    </row>
    <row r="192" ht="14.25" customHeight="1">
      <c r="B192" s="2" t="s">
        <v>16</v>
      </c>
      <c r="C192" s="2">
        <f>SUM(Production!D818:D820)</f>
        <v>3070.072676</v>
      </c>
      <c r="D192" s="2">
        <f>SUM(Production!E818:E820)</f>
        <v>9.261831669</v>
      </c>
      <c r="E192" s="2">
        <f>SUM(Production!F818:F820)</f>
        <v>71524.51382</v>
      </c>
      <c r="F192" s="2">
        <f>SUM(Production!G818:G820)</f>
        <v>50.98853381</v>
      </c>
      <c r="G192" s="2">
        <f>SUM(Production!H818:H820)</f>
        <v>0.2396068224</v>
      </c>
    </row>
    <row r="193" ht="14.25" customHeight="1">
      <c r="B193" s="2" t="s">
        <v>18</v>
      </c>
      <c r="C193" s="2">
        <f>3.57+89.94+33.86+8.11+3.16+2.67+10.39+15.65+2.12+3.91</f>
        <v>173.38</v>
      </c>
      <c r="D193" s="2">
        <f>0.01+0.24+0.09+0.02+0.01+0.01+0.03+0.04+0.01+0.01</f>
        <v>0.47</v>
      </c>
      <c r="E193" s="2">
        <f>59.48+1500+564.76+135.18+52.67+44.49+173.23+260.97+35.38+65.29</f>
        <v>2891.45</v>
      </c>
      <c r="F193" s="2">
        <f>0.01+0.03+0.02+0.01+0.01+0.02+0.06+0.17+0.01</f>
        <v>0.34</v>
      </c>
      <c r="G193" s="2">
        <f>0</f>
        <v>0</v>
      </c>
    </row>
    <row r="194" ht="14.25" customHeight="1">
      <c r="B194" s="2" t="s">
        <v>172</v>
      </c>
      <c r="C194" s="2">
        <f>'End of Life'!D482</f>
        <v>2786.91</v>
      </c>
      <c r="D194" s="2">
        <f>'End of Life'!E482</f>
        <v>0.37</v>
      </c>
      <c r="E194" s="2">
        <f>'End of Life'!F482</f>
        <v>565.53</v>
      </c>
      <c r="F194" s="2">
        <f>'End of Life'!G482</f>
        <v>4.12</v>
      </c>
      <c r="G194" s="2">
        <f>'End of Life'!H482</f>
        <v>0.01</v>
      </c>
    </row>
    <row r="195" ht="14.25" customHeight="1">
      <c r="A195" s="45" t="s">
        <v>173</v>
      </c>
      <c r="B195" s="46"/>
      <c r="C195" s="46">
        <f t="shared" ref="C195:G195" si="35">SUM(C190:C194)</f>
        <v>47368.34249</v>
      </c>
      <c r="D195" s="46">
        <f t="shared" si="35"/>
        <v>76.28449248</v>
      </c>
      <c r="E195" s="46">
        <f t="shared" si="35"/>
        <v>1081486.285</v>
      </c>
      <c r="F195" s="46">
        <f t="shared" si="35"/>
        <v>349.5180435</v>
      </c>
      <c r="G195" s="46">
        <f t="shared" si="35"/>
        <v>4.849993442</v>
      </c>
    </row>
    <row r="196" ht="14.25" customHeight="1">
      <c r="A196" s="43" t="s">
        <v>188</v>
      </c>
      <c r="B196" s="2" t="s">
        <v>146</v>
      </c>
      <c r="C196" s="2">
        <f>1050+14.45+33.71+6.75+94.28</f>
        <v>1199.19</v>
      </c>
      <c r="D196" s="2">
        <f>1.33+0.05+0.12+0.03+0.27</f>
        <v>1.8</v>
      </c>
      <c r="E196" s="2">
        <f>27040+293.34+684.46+130.95+2340</f>
        <v>30488.75</v>
      </c>
      <c r="F196" s="2">
        <f>7.73+0.19+0.44+0.08+1.21</f>
        <v>9.65</v>
      </c>
      <c r="G196" s="2">
        <v>0.14</v>
      </c>
    </row>
    <row r="197" ht="14.25" customHeight="1">
      <c r="B197" s="2" t="s">
        <v>16</v>
      </c>
      <c r="C197" s="2">
        <f>SUM(Production!D859)</f>
        <v>0.2748200598</v>
      </c>
      <c r="D197" s="2">
        <f>SUM(Production!E859)</f>
        <v>0.00007085205</v>
      </c>
      <c r="E197" s="2">
        <f>SUM(Production!F859)</f>
        <v>4.386523502</v>
      </c>
      <c r="F197" s="2">
        <f>SUM(Production!G859)</f>
        <v>0.006861503475</v>
      </c>
      <c r="G197" s="2">
        <f>SUM(Production!H859)</f>
        <v>0.00007360875</v>
      </c>
    </row>
    <row r="198" ht="14.25" customHeight="1">
      <c r="B198" s="2" t="s">
        <v>18</v>
      </c>
      <c r="C198" s="2">
        <f>2.4+0.36+0.84+0.22+2.69</f>
        <v>6.51</v>
      </c>
      <c r="D198" s="2">
        <f>0.02</f>
        <v>0.02</v>
      </c>
      <c r="E198" s="2">
        <f>40.05+6.01+14.02+3.74+44.86</f>
        <v>108.68</v>
      </c>
      <c r="F198" s="2">
        <v>0.01</v>
      </c>
      <c r="G198" s="2">
        <v>0.0</v>
      </c>
    </row>
    <row r="199" ht="14.25" customHeight="1">
      <c r="B199" s="2" t="s">
        <v>172</v>
      </c>
      <c r="C199" s="2">
        <f>'End of Life'!D492</f>
        <v>9.51</v>
      </c>
      <c r="D199" s="2">
        <f>'End of Life'!E492</f>
        <v>0</v>
      </c>
      <c r="E199" s="2">
        <f>'End of Life'!F492</f>
        <v>1.93</v>
      </c>
      <c r="F199" s="2">
        <f>'End of Life'!G492</f>
        <v>0.01</v>
      </c>
      <c r="G199" s="2">
        <f>'End of Life'!H492</f>
        <v>0</v>
      </c>
    </row>
    <row r="200" ht="14.25" customHeight="1">
      <c r="A200" s="45" t="s">
        <v>173</v>
      </c>
      <c r="B200" s="46"/>
      <c r="C200" s="46">
        <f t="shared" ref="C200:G200" si="36">SUM(C196:C199)</f>
        <v>1215.48482</v>
      </c>
      <c r="D200" s="46">
        <f t="shared" si="36"/>
        <v>1.820070852</v>
      </c>
      <c r="E200" s="46">
        <f t="shared" si="36"/>
        <v>30603.74652</v>
      </c>
      <c r="F200" s="46">
        <f t="shared" si="36"/>
        <v>9.676861503</v>
      </c>
      <c r="G200" s="46">
        <f t="shared" si="36"/>
        <v>0.1400736088</v>
      </c>
    </row>
    <row r="201" ht="14.25" customHeight="1">
      <c r="A201" s="43" t="s">
        <v>114</v>
      </c>
      <c r="B201" s="2" t="s">
        <v>146</v>
      </c>
      <c r="C201" s="2">
        <f>1040+21.34+3900+132.12+37660+14880+2940+231.21+165.63+83.85+73.85</f>
        <v>61128</v>
      </c>
      <c r="D201" s="2">
        <f>0.06+0.03+0.34+0.6+10.06+21.18+53.61+1.15+174.99+0.08+3.49</f>
        <v>265.59</v>
      </c>
      <c r="E201" s="2">
        <f>20740+930.12+41550+2000+1050000+416310+59650+4260+2560+1680+86.71</f>
        <v>1599766.83</v>
      </c>
      <c r="F201" s="2">
        <f>0.09+36.02+0.92+1.43+3.57+38.65+132.11+334.37+1.06+42.54+0.26+13.19</f>
        <v>604.21</v>
      </c>
      <c r="G201" s="2">
        <f>0.03+0.25+6.23+2.46+0.07+0.01+0.02</f>
        <v>9.07</v>
      </c>
    </row>
    <row r="202" ht="14.25" customHeight="1">
      <c r="B202" s="2" t="s">
        <v>171</v>
      </c>
      <c r="C202" s="2">
        <f>Production!D889+Production!D891</f>
        <v>548.5863865</v>
      </c>
      <c r="D202" s="2">
        <f>Production!E889+Production!E891</f>
        <v>1.881160821</v>
      </c>
      <c r="E202" s="2">
        <f>Production!F889+Production!F891</f>
        <v>20235.53191</v>
      </c>
      <c r="F202" s="2">
        <f>Production!G889+Production!G891</f>
        <v>13.73401437</v>
      </c>
      <c r="G202" s="2">
        <f>Production!H889+Production!H891</f>
        <v>0.03167612136</v>
      </c>
    </row>
    <row r="203" ht="14.25" customHeight="1">
      <c r="B203" s="2" t="s">
        <v>16</v>
      </c>
      <c r="C203" s="2">
        <f>Production!D887+Production!D890</f>
        <v>3952.159957</v>
      </c>
      <c r="D203" s="2">
        <f>Production!E887+Production!E890</f>
        <v>23.55725476</v>
      </c>
      <c r="E203" s="2">
        <f>Production!F887+Production!F890</f>
        <v>99317.91241</v>
      </c>
      <c r="F203" s="2">
        <f>Production!G887+Production!G890</f>
        <v>215.5035622</v>
      </c>
      <c r="G203" s="2">
        <f>Production!H887+Production!H890</f>
        <v>16.21308231</v>
      </c>
    </row>
    <row r="204" ht="14.25" customHeight="1">
      <c r="B204" s="2" t="s">
        <v>18</v>
      </c>
      <c r="C204" s="2">
        <f>2420+13.54+2.87+8.01+1.62+64.95+10.06+45.48+1.11+6.82+0.45</f>
        <v>2574.91</v>
      </c>
      <c r="D204" s="2">
        <f>0.02+0.12+0.03+0.17+0.02+0.01+0.04+6.46</f>
        <v>6.87</v>
      </c>
      <c r="E204" s="2">
        <f>40430+225.9+47.94+133.51+27.08+1080+167.73+758.6+18.52+113.73+7.56</f>
        <v>43010.57</v>
      </c>
      <c r="F204" s="2">
        <f>0.01+0.09+0.02+0.12+0.02+0.01+0.03+4.6</f>
        <v>4.9</v>
      </c>
      <c r="G204" s="2">
        <f>0.02</f>
        <v>0.02</v>
      </c>
    </row>
    <row r="205" ht="14.25" customHeight="1">
      <c r="B205" s="2" t="s">
        <v>172</v>
      </c>
      <c r="C205" s="2">
        <f>'End of Life'!D515</f>
        <v>32.33</v>
      </c>
      <c r="D205" s="2">
        <f>'End of Life'!E515</f>
        <v>0.01</v>
      </c>
      <c r="E205" s="2">
        <f>'End of Life'!F515</f>
        <v>77.75</v>
      </c>
      <c r="F205" s="2">
        <f>'End of Life'!G515</f>
        <v>0.06</v>
      </c>
      <c r="G205" s="2">
        <f>'End of Life'!H515</f>
        <v>0.5</v>
      </c>
    </row>
    <row r="206" ht="14.25" customHeight="1">
      <c r="A206" s="45" t="s">
        <v>173</v>
      </c>
      <c r="B206" s="46"/>
      <c r="C206" s="46">
        <f t="shared" ref="C206:G206" si="37">SUM(C201:C205)</f>
        <v>68235.98634</v>
      </c>
      <c r="D206" s="46">
        <f t="shared" si="37"/>
        <v>297.9084156</v>
      </c>
      <c r="E206" s="46">
        <f t="shared" si="37"/>
        <v>1762408.594</v>
      </c>
      <c r="F206" s="46">
        <f t="shared" si="37"/>
        <v>838.4075765</v>
      </c>
      <c r="G206" s="46">
        <f t="shared" si="37"/>
        <v>25.83475844</v>
      </c>
    </row>
    <row r="207" ht="14.25" customHeight="1">
      <c r="A207" s="43" t="s">
        <v>115</v>
      </c>
      <c r="B207" s="2" t="s">
        <v>146</v>
      </c>
      <c r="C207" s="2">
        <f>4100+281.76+5460+7080+287.18+985.79+544.23+275.31</f>
        <v>19014.27</v>
      </c>
      <c r="D207" s="2">
        <f>183.74+1.22+14.79+1.58+2.5+2.57+2.14+0.72</f>
        <v>209.26</v>
      </c>
      <c r="E207" s="2">
        <f>43630+22660+101060+160420+4350+18140+11910+5070</f>
        <v>367240</v>
      </c>
      <c r="F207" s="2">
        <f>44.66+8.71+80.1+94.59+2.3+15.22+6.91+4.25</f>
        <v>256.74</v>
      </c>
      <c r="G207" s="2">
        <f>0.26+0.01+0.15+0.04+0.01+0.02+0.02+0.01</f>
        <v>0.52</v>
      </c>
    </row>
    <row r="208" ht="14.25" customHeight="1">
      <c r="B208" s="2" t="s">
        <v>171</v>
      </c>
      <c r="C208" s="2">
        <f>Production!D923+Production!D924+Production!D926</f>
        <v>4614.373542</v>
      </c>
      <c r="D208" s="2">
        <f>Production!E923+Production!E924+Production!E926</f>
        <v>17.1217163</v>
      </c>
      <c r="E208" s="2">
        <f>Production!F923+Production!F924+Production!F926</f>
        <v>150572.331</v>
      </c>
      <c r="F208" s="2">
        <f>Production!G923+Production!G924+Production!G926</f>
        <v>128.5684254</v>
      </c>
      <c r="G208" s="2">
        <f>Production!H923+Production!H924+Production!H926</f>
        <v>0.2944128258</v>
      </c>
    </row>
    <row r="209" ht="14.25" customHeight="1">
      <c r="B209" s="2" t="s">
        <v>16</v>
      </c>
      <c r="C209" s="2">
        <f>Production!D922+Production!D925</f>
        <v>855.3098391</v>
      </c>
      <c r="D209" s="2">
        <f>Production!E922+Production!E925</f>
        <v>11.09561753</v>
      </c>
      <c r="E209" s="2">
        <f>Production!F922+Production!F925</f>
        <v>22219.07152</v>
      </c>
      <c r="F209" s="2">
        <f>Production!G922+Production!G925</f>
        <v>110.7014777</v>
      </c>
      <c r="G209" s="2">
        <f>Production!H922+Production!H925</f>
        <v>9.865816227</v>
      </c>
    </row>
    <row r="210" ht="14.25" customHeight="1">
      <c r="B210" s="2" t="s">
        <v>18</v>
      </c>
      <c r="C210" s="2">
        <f>8.41+1.83+20.6+27.02+3.2+12.37+8.67+1.31</f>
        <v>83.41</v>
      </c>
      <c r="D210" s="2">
        <f>0.02+0.05+0.07+0.01+0.03+0.02</f>
        <v>0.2</v>
      </c>
      <c r="E210" s="2">
        <f>140.19+30.54+343.64+450.61+53.34+206.34+144.68+21.88</f>
        <v>1391.22</v>
      </c>
      <c r="F210" s="2">
        <f>0.02+0.04+0.05+0.01+0.02+0.02</f>
        <v>0.16</v>
      </c>
      <c r="G210" s="2">
        <v>0.0</v>
      </c>
    </row>
    <row r="211" ht="14.25" customHeight="1">
      <c r="B211" s="2" t="s">
        <v>172</v>
      </c>
      <c r="C211" s="2">
        <f>'End of Life'!D534</f>
        <v>15.81</v>
      </c>
      <c r="D211" s="2">
        <f>'End of Life'!E534</f>
        <v>0.01</v>
      </c>
      <c r="E211" s="2">
        <f>'End of Life'!F534</f>
        <v>38.02</v>
      </c>
      <c r="F211" s="2">
        <f>'End of Life'!G534</f>
        <v>0.03</v>
      </c>
      <c r="G211" s="2">
        <f>'End of Life'!H534</f>
        <v>0.25</v>
      </c>
    </row>
    <row r="212" ht="14.25" customHeight="1">
      <c r="A212" s="45" t="s">
        <v>173</v>
      </c>
      <c r="B212" s="46"/>
      <c r="C212" s="46">
        <f t="shared" ref="C212:G212" si="38">SUM(C207:C211)</f>
        <v>24583.17338</v>
      </c>
      <c r="D212" s="46">
        <f t="shared" si="38"/>
        <v>237.6873338</v>
      </c>
      <c r="E212" s="46">
        <f t="shared" si="38"/>
        <v>541460.6425</v>
      </c>
      <c r="F212" s="46">
        <f t="shared" si="38"/>
        <v>496.1999031</v>
      </c>
      <c r="G212" s="46">
        <f t="shared" si="38"/>
        <v>10.93022905</v>
      </c>
    </row>
    <row r="213" ht="14.25" customHeight="1">
      <c r="A213" s="43" t="s">
        <v>116</v>
      </c>
      <c r="B213" s="2" t="s">
        <v>146</v>
      </c>
      <c r="C213" s="2">
        <f>187.23+34.73+27.51+131.92+231.21+3.39+15.29</f>
        <v>631.28</v>
      </c>
      <c r="D213" s="2">
        <f>0.03+0.29+0.17+0.62+0.09+0.06+0.03</f>
        <v>1.29</v>
      </c>
      <c r="E213" s="2">
        <f>2420+1040+613.41+2620+3140+68.83+456.82</f>
        <v>10359.06</v>
      </c>
      <c r="F213" s="2">
        <f>0.16+0.09+1.4+2.41+0.34+0.36+1.38</f>
        <v>6.14</v>
      </c>
      <c r="G213" s="2">
        <f>0.06</f>
        <v>0.06</v>
      </c>
    </row>
    <row r="214" ht="14.25" customHeight="1">
      <c r="B214" s="2" t="s">
        <v>171</v>
      </c>
      <c r="C214" s="2">
        <f>Production!D950+Production!D955</f>
        <v>43.05534112</v>
      </c>
      <c r="D214" s="2">
        <f>Production!E950+Production!E955</f>
        <v>0.1050561108</v>
      </c>
      <c r="E214" s="2">
        <f>Production!F950+Production!F955</f>
        <v>939.7406584</v>
      </c>
      <c r="F214" s="2">
        <f>Production!G950+Production!G955</f>
        <v>0.6090979778</v>
      </c>
      <c r="G214" s="2">
        <f>Production!H950+Production!H955</f>
        <v>0.002481656858</v>
      </c>
    </row>
    <row r="215" ht="14.25" customHeight="1">
      <c r="B215" s="2" t="s">
        <v>16</v>
      </c>
      <c r="C215" s="2">
        <f>Production!D954</f>
        <v>40.96795767</v>
      </c>
      <c r="D215" s="2">
        <f>Production!E954</f>
        <v>0.5384049615</v>
      </c>
      <c r="E215" s="2">
        <f>Production!F954</f>
        <v>1069.262585</v>
      </c>
      <c r="F215" s="2">
        <f>Production!G954</f>
        <v>5.345350764</v>
      </c>
      <c r="G215" s="2">
        <f>Production!H954</f>
        <v>0.4777656986</v>
      </c>
    </row>
    <row r="216" ht="14.25" customHeight="1">
      <c r="B216" s="2" t="s">
        <v>18</v>
      </c>
      <c r="C216" s="2">
        <f>8.8+5.42+3.74+3.68+1.57+22.42+0.08+0.39</f>
        <v>46.1</v>
      </c>
      <c r="D216" s="2">
        <f>0.02+0.01+0.01+0.02+0.01</f>
        <v>0.07</v>
      </c>
      <c r="E216" s="2">
        <f>1.31+335.83+24.9+52.24+59.27+87.95+142.68</f>
        <v>704.18</v>
      </c>
      <c r="F216" s="2">
        <f>0.02+0.01+0.01+0.01+0.01</f>
        <v>0.06</v>
      </c>
      <c r="G216" s="2">
        <v>0.0</v>
      </c>
    </row>
    <row r="217" ht="14.25" customHeight="1">
      <c r="B217" s="2" t="s">
        <v>172</v>
      </c>
      <c r="C217" s="2">
        <f>'End of Life'!D547</f>
        <v>52.13</v>
      </c>
      <c r="D217" s="2">
        <f>'End of Life'!E547</f>
        <v>0</v>
      </c>
      <c r="E217" s="2">
        <f>'End of Life'!F547</f>
        <v>24.27</v>
      </c>
      <c r="F217" s="2">
        <f>'End of Life'!G547</f>
        <v>0.02</v>
      </c>
      <c r="G217" s="2">
        <f>'End of Life'!H547</f>
        <v>0.06</v>
      </c>
    </row>
    <row r="218" ht="14.25" customHeight="1">
      <c r="A218" s="45" t="s">
        <v>173</v>
      </c>
      <c r="B218" s="46"/>
      <c r="C218" s="46">
        <f t="shared" ref="C218:G218" si="39">SUM(C213:C217)</f>
        <v>813.5332988</v>
      </c>
      <c r="D218" s="46">
        <f t="shared" si="39"/>
        <v>2.003461072</v>
      </c>
      <c r="E218" s="46">
        <f t="shared" si="39"/>
        <v>13096.51324</v>
      </c>
      <c r="F218" s="46">
        <f t="shared" si="39"/>
        <v>12.17444874</v>
      </c>
      <c r="G218" s="46">
        <f t="shared" si="39"/>
        <v>0.6002473555</v>
      </c>
    </row>
    <row r="219" ht="14.25" customHeight="1">
      <c r="A219" s="43" t="s">
        <v>118</v>
      </c>
      <c r="B219" s="2" t="s">
        <v>146</v>
      </c>
      <c r="C219" s="2">
        <f>187.23+34.73+27.51+63.43+204.54+3.39</f>
        <v>520.83</v>
      </c>
      <c r="D219" s="2">
        <f>0.03+0.06+0.09+0.24+0.15+0.29</f>
        <v>0.86</v>
      </c>
      <c r="E219" s="2">
        <f>2420+1040+613.41+1550+2780+68.83</f>
        <v>8472.24</v>
      </c>
      <c r="F219" s="2">
        <f>1.38+0.36+0.34+0.74+1.24+0.09</f>
        <v>4.15</v>
      </c>
      <c r="G219" s="2">
        <f>0.02</f>
        <v>0.02</v>
      </c>
    </row>
    <row r="220" ht="14.25" customHeight="1">
      <c r="B220" s="2" t="s">
        <v>171</v>
      </c>
      <c r="C220" s="2">
        <f>Production!D973+Production!D977</f>
        <v>43.05534112</v>
      </c>
      <c r="D220" s="2">
        <f>Production!E973+Production!E977</f>
        <v>0.1050561108</v>
      </c>
      <c r="E220" s="2">
        <f>Production!F973+Production!F977</f>
        <v>939.7406584</v>
      </c>
      <c r="F220" s="2">
        <f>Production!G973+Production!G977</f>
        <v>0.6090979778</v>
      </c>
      <c r="G220" s="2">
        <f>Production!H973+Production!H977</f>
        <v>0.002481656858</v>
      </c>
    </row>
    <row r="221" ht="14.25" customHeight="1">
      <c r="B221" s="2" t="s">
        <v>16</v>
      </c>
      <c r="C221" s="2">
        <f>Production!D976</f>
        <v>40.96795767</v>
      </c>
      <c r="D221" s="2">
        <f>Production!E976</f>
        <v>0.5384049615</v>
      </c>
      <c r="E221" s="2">
        <f>Production!F976</f>
        <v>1069.262585</v>
      </c>
      <c r="F221" s="2">
        <f>Production!G976</f>
        <v>5.345350764</v>
      </c>
      <c r="G221" s="2">
        <f>Production!H976</f>
        <v>0.4777656986</v>
      </c>
    </row>
    <row r="222" ht="14.25" customHeight="1">
      <c r="B222" s="2" t="s">
        <v>18</v>
      </c>
      <c r="C222" s="2">
        <f>8.8+5.42+3.67+3.68+1.57+19.83+0.08+0.39</f>
        <v>43.44</v>
      </c>
      <c r="D222" s="2">
        <f>0.08</f>
        <v>0.08</v>
      </c>
      <c r="E222" s="2">
        <f>142.68+87.95+58.2+52.24+24.9+297.08+1.31+6.57</f>
        <v>670.93</v>
      </c>
      <c r="F222" s="2">
        <f>0.01+0.01+0.01+0.01+0.02</f>
        <v>0.06</v>
      </c>
      <c r="G222" s="2">
        <v>0.0</v>
      </c>
    </row>
    <row r="223" ht="14.25" customHeight="1">
      <c r="B223" s="2" t="s">
        <v>172</v>
      </c>
      <c r="C223" s="2">
        <f>'End of Life'!D559</f>
        <v>51.9</v>
      </c>
      <c r="D223" s="2">
        <f>'End of Life'!E559</f>
        <v>0</v>
      </c>
      <c r="E223" s="2">
        <f>'End of Life'!F559</f>
        <v>24.16</v>
      </c>
      <c r="F223" s="2">
        <f>'End of Life'!G559</f>
        <v>0.02</v>
      </c>
      <c r="G223" s="2">
        <f>'End of Life'!H559</f>
        <v>0.06</v>
      </c>
    </row>
    <row r="224" ht="14.25" customHeight="1">
      <c r="A224" s="45" t="s">
        <v>173</v>
      </c>
      <c r="B224" s="46"/>
      <c r="C224" s="46">
        <f t="shared" ref="C224:G224" si="40">SUM(C219:C223)</f>
        <v>700.1932988</v>
      </c>
      <c r="D224" s="46">
        <f t="shared" si="40"/>
        <v>1.583461072</v>
      </c>
      <c r="E224" s="46">
        <f t="shared" si="40"/>
        <v>11176.33324</v>
      </c>
      <c r="F224" s="46">
        <f t="shared" si="40"/>
        <v>10.18444874</v>
      </c>
      <c r="G224" s="46">
        <f t="shared" si="40"/>
        <v>0.5602473555</v>
      </c>
    </row>
    <row r="225" ht="14.25" customHeight="1">
      <c r="A225" s="43" t="s">
        <v>119</v>
      </c>
      <c r="B225" s="2" t="s">
        <v>146</v>
      </c>
      <c r="C225" s="2">
        <f t="shared" ref="C225:G225" si="41">C219</f>
        <v>520.83</v>
      </c>
      <c r="D225" s="2">
        <f t="shared" si="41"/>
        <v>0.86</v>
      </c>
      <c r="E225" s="2">
        <f t="shared" si="41"/>
        <v>8472.24</v>
      </c>
      <c r="F225" s="2">
        <f t="shared" si="41"/>
        <v>4.15</v>
      </c>
      <c r="G225" s="2">
        <f t="shared" si="41"/>
        <v>0.02</v>
      </c>
    </row>
    <row r="226" ht="14.25" customHeight="1">
      <c r="B226" s="2" t="s">
        <v>171</v>
      </c>
      <c r="C226" s="2">
        <f t="shared" ref="C226:G226" si="42">C220</f>
        <v>43.05534112</v>
      </c>
      <c r="D226" s="2">
        <f t="shared" si="42"/>
        <v>0.1050561108</v>
      </c>
      <c r="E226" s="2">
        <f t="shared" si="42"/>
        <v>939.7406584</v>
      </c>
      <c r="F226" s="2">
        <f t="shared" si="42"/>
        <v>0.6090979778</v>
      </c>
      <c r="G226" s="2">
        <f t="shared" si="42"/>
        <v>0.002481656858</v>
      </c>
    </row>
    <row r="227" ht="14.25" customHeight="1">
      <c r="B227" s="2" t="s">
        <v>16</v>
      </c>
      <c r="C227" s="2">
        <f t="shared" ref="C227:G227" si="43">C221</f>
        <v>40.96795767</v>
      </c>
      <c r="D227" s="2">
        <f t="shared" si="43"/>
        <v>0.5384049615</v>
      </c>
      <c r="E227" s="2">
        <f t="shared" si="43"/>
        <v>1069.262585</v>
      </c>
      <c r="F227" s="2">
        <f t="shared" si="43"/>
        <v>5.345350764</v>
      </c>
      <c r="G227" s="2">
        <f t="shared" si="43"/>
        <v>0.4777656986</v>
      </c>
    </row>
    <row r="228" ht="14.25" customHeight="1">
      <c r="B228" s="2" t="s">
        <v>18</v>
      </c>
      <c r="C228" s="2">
        <f t="shared" ref="C228:G228" si="44">C222</f>
        <v>43.44</v>
      </c>
      <c r="D228" s="2">
        <f t="shared" si="44"/>
        <v>0.08</v>
      </c>
      <c r="E228" s="2">
        <f t="shared" si="44"/>
        <v>670.93</v>
      </c>
      <c r="F228" s="2">
        <f t="shared" si="44"/>
        <v>0.06</v>
      </c>
      <c r="G228" s="2">
        <f t="shared" si="44"/>
        <v>0</v>
      </c>
    </row>
    <row r="229" ht="14.25" customHeight="1">
      <c r="B229" s="2" t="s">
        <v>172</v>
      </c>
      <c r="C229" s="2">
        <f t="shared" ref="C229:G229" si="45">C223</f>
        <v>51.9</v>
      </c>
      <c r="D229" s="2">
        <f t="shared" si="45"/>
        <v>0</v>
      </c>
      <c r="E229" s="2">
        <f t="shared" si="45"/>
        <v>24.16</v>
      </c>
      <c r="F229" s="2">
        <f t="shared" si="45"/>
        <v>0.02</v>
      </c>
      <c r="G229" s="2">
        <f t="shared" si="45"/>
        <v>0.06</v>
      </c>
    </row>
    <row r="230" ht="14.25" customHeight="1">
      <c r="A230" s="45" t="s">
        <v>173</v>
      </c>
      <c r="B230" s="46"/>
      <c r="C230" s="46">
        <f t="shared" ref="C230:G230" si="46">SUM(C225:C229)</f>
        <v>700.1932988</v>
      </c>
      <c r="D230" s="46">
        <f t="shared" si="46"/>
        <v>1.583461072</v>
      </c>
      <c r="E230" s="46">
        <f t="shared" si="46"/>
        <v>11176.33324</v>
      </c>
      <c r="F230" s="46">
        <f t="shared" si="46"/>
        <v>10.18444874</v>
      </c>
      <c r="G230" s="46">
        <f t="shared" si="46"/>
        <v>0.5602473555</v>
      </c>
    </row>
    <row r="231" ht="14.25" customHeight="1">
      <c r="A231" s="43" t="s">
        <v>120</v>
      </c>
      <c r="B231" s="2" t="s">
        <v>146</v>
      </c>
      <c r="C231" s="2">
        <f>99.38+18.47+14.53+70.15+108.49+1.97</f>
        <v>312.99</v>
      </c>
      <c r="D231" s="2">
        <f>0.02+0.03+0.05+0.33+0.08+0.17</f>
        <v>0.68</v>
      </c>
      <c r="E231" s="2">
        <f>1290+551.66+324.01+1390+1470+39.85</f>
        <v>5065.52</v>
      </c>
      <c r="F231" s="2">
        <f>0.73+0.19+0.18+1.28+0.66+0.05</f>
        <v>3.09</v>
      </c>
      <c r="G231" s="2">
        <v>0.02</v>
      </c>
    </row>
    <row r="232" ht="14.25" customHeight="1">
      <c r="B232" s="2" t="s">
        <v>171</v>
      </c>
      <c r="C232" s="2">
        <f>Production!D1015+Production!D1019</f>
        <v>25.184707</v>
      </c>
      <c r="D232" s="2">
        <f>Production!E1015+Production!E1019</f>
        <v>0.06146979509</v>
      </c>
      <c r="E232" s="2">
        <f>Production!F1015+Production!F1019</f>
        <v>540.4966829</v>
      </c>
      <c r="F232" s="2">
        <f>Production!G1015+Production!G1019</f>
        <v>0.3459524049</v>
      </c>
      <c r="G232" s="2">
        <f>Production!H1015+Production!H1019</f>
        <v>0.001420392078</v>
      </c>
    </row>
    <row r="233" ht="14.25" customHeight="1">
      <c r="B233" s="2" t="s">
        <v>16</v>
      </c>
      <c r="C233" s="2">
        <f>Production!D1018</f>
        <v>19.66461968</v>
      </c>
      <c r="D233" s="2">
        <f>Production!E1018</f>
        <v>0.2584343815</v>
      </c>
      <c r="E233" s="2">
        <f>Production!F1018</f>
        <v>513.246041</v>
      </c>
      <c r="F233" s="2">
        <f>Production!G1018</f>
        <v>2.565768367</v>
      </c>
      <c r="G233" s="2">
        <f>Production!H1018</f>
        <v>0.2293275353</v>
      </c>
    </row>
    <row r="234" ht="14.25" customHeight="1">
      <c r="B234" s="2" t="s">
        <v>18</v>
      </c>
      <c r="C234" s="2">
        <f>4.67+2.88+1.97+1.96+0.99+10.52+0.05+0.19</f>
        <v>23.23</v>
      </c>
      <c r="D234" s="2">
        <v>0.04</v>
      </c>
      <c r="E234" s="2">
        <f>75.73+46.77+31.31+27.78+15.69+157.58+0.76+3.15</f>
        <v>358.77</v>
      </c>
      <c r="F234" s="2">
        <f>0.02</f>
        <v>0.02</v>
      </c>
      <c r="G234" s="2">
        <v>0.0</v>
      </c>
    </row>
    <row r="235" ht="14.25" customHeight="1">
      <c r="B235" s="2" t="s">
        <v>172</v>
      </c>
      <c r="C235" s="2">
        <f>'End of Life'!D583</f>
        <v>27.53</v>
      </c>
      <c r="D235" s="2">
        <f>'End of Life'!E583</f>
        <v>0</v>
      </c>
      <c r="E235" s="2">
        <f>'End of Life'!F583</f>
        <v>12.83</v>
      </c>
      <c r="F235" s="2">
        <f>'End of Life'!G583</f>
        <v>0</v>
      </c>
      <c r="G235" s="2">
        <f>'End of Life'!H583</f>
        <v>0.02</v>
      </c>
    </row>
    <row r="236" ht="14.25" customHeight="1">
      <c r="A236" s="45" t="s">
        <v>173</v>
      </c>
      <c r="B236" s="46"/>
      <c r="C236" s="46">
        <f t="shared" ref="C236:G236" si="47">SUM(C231:C235)</f>
        <v>408.5993267</v>
      </c>
      <c r="D236" s="46">
        <f t="shared" si="47"/>
        <v>1.039904177</v>
      </c>
      <c r="E236" s="46">
        <f t="shared" si="47"/>
        <v>6490.862724</v>
      </c>
      <c r="F236" s="46">
        <f t="shared" si="47"/>
        <v>6.021720772</v>
      </c>
      <c r="G236" s="46">
        <f t="shared" si="47"/>
        <v>0.2707479274</v>
      </c>
    </row>
    <row r="237" ht="14.25" customHeight="1">
      <c r="A237" s="43" t="s">
        <v>189</v>
      </c>
      <c r="B237" s="2" t="s">
        <v>146</v>
      </c>
      <c r="C237" s="2">
        <f>228.6+182.88+320.03</f>
        <v>731.51</v>
      </c>
      <c r="D237" s="2">
        <f>24.86+19.89+34.8</f>
        <v>79.55</v>
      </c>
      <c r="E237" s="2">
        <f>3140+2510+4400</f>
        <v>10050</v>
      </c>
      <c r="F237" s="2">
        <f>1.12+0.9+1.57</f>
        <v>3.59</v>
      </c>
      <c r="G237" s="2">
        <f>0.03</f>
        <v>0.03</v>
      </c>
    </row>
    <row r="238" ht="14.25" customHeight="1">
      <c r="B238" s="2" t="s">
        <v>171</v>
      </c>
      <c r="C238" s="2">
        <f>Production!D1034+Production!D1035+Production!D1037</f>
        <v>118.0899986</v>
      </c>
      <c r="D238" s="2">
        <f>Production!E1034+Production!E1035+Production!E1037</f>
        <v>1.514329278</v>
      </c>
      <c r="E238" s="2">
        <f>Production!F1034+Production!F1035+Production!F1037</f>
        <v>17386.43652</v>
      </c>
      <c r="F238" s="2">
        <f>Production!G1034+Production!G1035+Production!G1037</f>
        <v>4.729897112</v>
      </c>
      <c r="G238" s="2">
        <f>Production!H1034+Production!H1035+Production!H1037</f>
        <v>0.01711224676</v>
      </c>
    </row>
    <row r="239" ht="14.25" customHeight="1">
      <c r="B239" s="2" t="s">
        <v>16</v>
      </c>
      <c r="C239" s="2">
        <f>Production!D1036</f>
        <v>32.84370972</v>
      </c>
      <c r="D239" s="2">
        <f>Production!E1036</f>
        <v>0.4309087202</v>
      </c>
      <c r="E239" s="2">
        <f>Production!F1036</f>
        <v>856.5666226</v>
      </c>
      <c r="F239" s="2">
        <f>Production!G1036</f>
        <v>4.281942332</v>
      </c>
      <c r="G239" s="2">
        <f>Production!H1036</f>
        <v>0.3822130054</v>
      </c>
    </row>
    <row r="240" ht="14.25" customHeight="1">
      <c r="B240" s="2" t="s">
        <v>18</v>
      </c>
      <c r="C240" s="2">
        <f>3.05+2.44+4.27+0.38</f>
        <v>10.14</v>
      </c>
      <c r="D240" s="2">
        <f>0.03</f>
        <v>0.03</v>
      </c>
      <c r="E240" s="2">
        <f>50.9+40.72+71.26+6.41</f>
        <v>169.29</v>
      </c>
      <c r="F240" s="2">
        <f>0.01+0.01</f>
        <v>0.02</v>
      </c>
      <c r="G240" s="2">
        <f>0</f>
        <v>0</v>
      </c>
    </row>
    <row r="241" ht="14.25" customHeight="1">
      <c r="B241" s="2" t="s">
        <v>172</v>
      </c>
      <c r="C241" s="2">
        <f>'End of Life'!D592</f>
        <v>4.69</v>
      </c>
      <c r="D241" s="2">
        <f>'End of Life'!E592</f>
        <v>0</v>
      </c>
      <c r="E241" s="2">
        <f>'End of Life'!F592</f>
        <v>3.65</v>
      </c>
      <c r="F241" s="2">
        <f>'End of Life'!G592</f>
        <v>0.01</v>
      </c>
      <c r="G241" s="2">
        <f>'End of Life'!H592</f>
        <v>0</v>
      </c>
    </row>
    <row r="242" ht="14.25" customHeight="1">
      <c r="A242" s="45" t="s">
        <v>173</v>
      </c>
      <c r="B242" s="46"/>
      <c r="C242" s="46">
        <f t="shared" ref="C242:G242" si="48">SUM(C237:C241)</f>
        <v>897.2737083</v>
      </c>
      <c r="D242" s="46">
        <f t="shared" si="48"/>
        <v>81.525238</v>
      </c>
      <c r="E242" s="46">
        <f t="shared" si="48"/>
        <v>28465.94314</v>
      </c>
      <c r="F242" s="46">
        <f t="shared" si="48"/>
        <v>12.63183944</v>
      </c>
      <c r="G242" s="46">
        <f t="shared" si="48"/>
        <v>0.4293252521</v>
      </c>
    </row>
    <row r="243" ht="14.25" customHeight="1">
      <c r="A243" s="43" t="s">
        <v>125</v>
      </c>
      <c r="B243" s="2" t="s">
        <v>146</v>
      </c>
      <c r="C243" s="2">
        <f>180.99+341.33+3.74+10.16+487.61+1030+77.05+1.14</f>
        <v>2132.02</v>
      </c>
      <c r="D243" s="2">
        <f>0.26+1.46+21.87+0.03+0.03+15.31+0.04</f>
        <v>39</v>
      </c>
      <c r="E243" s="2">
        <f>4100+3640+56.7+186.93+5190+28750+1560</f>
        <v>43483.63</v>
      </c>
      <c r="F243" s="2">
        <f>1.01+9.12+5.32+0.16+0.03+3.72+2.42</f>
        <v>21.78</v>
      </c>
      <c r="G243" s="2">
        <f>0.02+0.03+0.17</f>
        <v>0.22</v>
      </c>
    </row>
    <row r="244" ht="14.25" customHeight="1">
      <c r="B244" s="2" t="s">
        <v>171</v>
      </c>
      <c r="C244" s="2">
        <f>Production!D1052+Production!D1054+Production!D1071+Production!D1072+Production!D1074</f>
        <v>502.8230424</v>
      </c>
      <c r="D244" s="2">
        <f>Production!E1052+Production!E1054+Production!E1071+Production!E1072+Production!E1074</f>
        <v>2.759980294</v>
      </c>
      <c r="E244" s="2">
        <f>Production!F1052+Production!F1054+Production!F1071+Production!F1072+Production!F1074</f>
        <v>29377.21824</v>
      </c>
      <c r="F244" s="2">
        <f>Production!G1052+Production!G1054+Production!G1071+Production!G1072+Production!G1074</f>
        <v>14.66211426</v>
      </c>
      <c r="G244" s="2">
        <f>Production!H1052+Production!H1054+Production!H1071+Production!H1072+Production!H1074</f>
        <v>0.03925372667</v>
      </c>
    </row>
    <row r="245" ht="14.25" customHeight="1">
      <c r="B245" s="2" t="s">
        <v>16</v>
      </c>
      <c r="C245" s="2">
        <f>Production!D1051+Production!D1053+Production!D1069+Production!D1073</f>
        <v>624.7809193</v>
      </c>
      <c r="D245" s="2">
        <f>Production!E1051+Production!E1053+Production!E1069+Production!E1073</f>
        <v>7.822740563</v>
      </c>
      <c r="E245" s="2">
        <f>Production!F1051+Production!F1053+Production!F1069+Production!F1073</f>
        <v>16292.35862</v>
      </c>
      <c r="F245" s="2">
        <f>Production!G1051+Production!G1053+Production!G1069+Production!G1073</f>
        <v>77.49370311</v>
      </c>
      <c r="G245" s="2">
        <f>Production!H1051+Production!H1053+Production!H1069+Production!H1073</f>
        <v>6.882438783</v>
      </c>
    </row>
    <row r="246" ht="14.25" customHeight="1">
      <c r="B246" s="2" t="s">
        <v>18</v>
      </c>
      <c r="C246" s="2">
        <f>0.69+0.7+0.05+0.05+87.99+1+0.72+1.28</f>
        <v>92.48</v>
      </c>
      <c r="D246" s="2">
        <v>0.23</v>
      </c>
      <c r="E246" s="2">
        <f>11.52+11.68+0.75+0.85+1470+16.69+12.02+21.36</f>
        <v>1544.87</v>
      </c>
      <c r="F246" s="2">
        <v>0.17</v>
      </c>
      <c r="G246" s="2">
        <v>0.0</v>
      </c>
    </row>
    <row r="247" ht="14.25" customHeight="1">
      <c r="B247" s="2" t="s">
        <v>172</v>
      </c>
      <c r="C247" s="2">
        <f>'End of Life'!D603+'End of Life'!D614</f>
        <v>0.82</v>
      </c>
      <c r="D247" s="2">
        <f>'End of Life'!E603+'End of Life'!E614</f>
        <v>0</v>
      </c>
      <c r="E247" s="2">
        <f>'End of Life'!F603+'End of Life'!F614</f>
        <v>2.01</v>
      </c>
      <c r="F247" s="2">
        <f>'End of Life'!G603+'End of Life'!G614</f>
        <v>0</v>
      </c>
      <c r="G247" s="2">
        <f>'End of Life'!H603+'End of Life'!H614</f>
        <v>0.01</v>
      </c>
    </row>
    <row r="248" ht="14.25" customHeight="1">
      <c r="A248" s="45" t="s">
        <v>173</v>
      </c>
      <c r="B248" s="46"/>
      <c r="C248" s="46">
        <f t="shared" ref="C248:G248" si="49">SUM(C243:C247)</f>
        <v>3352.923962</v>
      </c>
      <c r="D248" s="46">
        <f t="shared" si="49"/>
        <v>49.81272086</v>
      </c>
      <c r="E248" s="46">
        <f t="shared" si="49"/>
        <v>90700.08687</v>
      </c>
      <c r="F248" s="46">
        <f t="shared" si="49"/>
        <v>114.1058174</v>
      </c>
      <c r="G248" s="46">
        <f t="shared" si="49"/>
        <v>7.15169251</v>
      </c>
      <c r="I248" s="2"/>
      <c r="J248" s="2"/>
      <c r="K248" s="2"/>
      <c r="L248" s="2"/>
      <c r="M248" s="2"/>
    </row>
    <row r="249" ht="14.25" customHeight="1">
      <c r="A249" s="43" t="s">
        <v>190</v>
      </c>
      <c r="B249" s="2" t="s">
        <v>146</v>
      </c>
      <c r="C249" s="2">
        <v>6340.0</v>
      </c>
      <c r="D249" s="2">
        <v>5070.0</v>
      </c>
      <c r="E249" s="2">
        <v>84230.0</v>
      </c>
      <c r="F249" s="2">
        <v>82.29</v>
      </c>
      <c r="G249" s="2">
        <v>0.35</v>
      </c>
      <c r="I249" s="2"/>
      <c r="J249" s="2"/>
      <c r="K249" s="2"/>
      <c r="L249" s="2"/>
      <c r="M249" s="2"/>
    </row>
    <row r="250" ht="14.25" customHeight="1">
      <c r="B250" s="2" t="s">
        <v>171</v>
      </c>
      <c r="C250" s="2">
        <f>Production!D1091+Production!D1093</f>
        <v>169.8882398</v>
      </c>
      <c r="D250" s="2">
        <f>Production!E1091+Production!E1093</f>
        <v>2.126990545</v>
      </c>
      <c r="E250" s="2">
        <f>Production!F1091+Production!F1093</f>
        <v>24402.78062</v>
      </c>
      <c r="F250" s="2">
        <f>Production!G1091+Production!G1093</f>
        <v>6.702054555</v>
      </c>
      <c r="G250" s="2">
        <f>Production!H1091+Production!H1093</f>
        <v>0.024275666</v>
      </c>
      <c r="I250" s="2"/>
      <c r="J250" s="2"/>
      <c r="K250" s="2"/>
      <c r="L250" s="2"/>
      <c r="M250" s="2"/>
    </row>
    <row r="251" ht="14.25" customHeight="1">
      <c r="B251" s="2" t="s">
        <v>16</v>
      </c>
      <c r="C251" s="2">
        <f>Production!D1092</f>
        <v>16.38718307</v>
      </c>
      <c r="D251" s="2">
        <f>Production!E1092</f>
        <v>0.2153619846</v>
      </c>
      <c r="E251" s="2">
        <f>Production!F1092</f>
        <v>427.7050342</v>
      </c>
      <c r="F251" s="2">
        <f>Production!G1092</f>
        <v>2.140905394</v>
      </c>
      <c r="G251" s="2">
        <f>Production!H1092</f>
        <v>0.1911062794</v>
      </c>
    </row>
    <row r="252" ht="14.25" customHeight="1">
      <c r="B252" s="2" t="s">
        <v>18</v>
      </c>
      <c r="C252" s="2">
        <f>118.07+0.16</f>
        <v>118.23</v>
      </c>
      <c r="D252" s="2">
        <f>0.31</f>
        <v>0.31</v>
      </c>
      <c r="E252" s="2">
        <f>1970</f>
        <v>1970</v>
      </c>
      <c r="F252" s="2">
        <v>0.22</v>
      </c>
      <c r="G252" s="2">
        <v>0.0</v>
      </c>
    </row>
    <row r="253" ht="14.25" customHeight="1">
      <c r="B253" s="2" t="s">
        <v>172</v>
      </c>
      <c r="C253" s="2">
        <f>'End of Life'!D622</f>
        <v>2.34</v>
      </c>
      <c r="D253" s="2">
        <f>'End of Life'!E622</f>
        <v>0</v>
      </c>
      <c r="E253" s="2">
        <f>'End of Life'!F622</f>
        <v>1.83</v>
      </c>
      <c r="F253" s="2">
        <f>'End of Life'!G622</f>
        <v>0</v>
      </c>
      <c r="G253" s="2">
        <f>'End of Life'!H622</f>
        <v>0</v>
      </c>
    </row>
    <row r="254" ht="14.25" customHeight="1">
      <c r="A254" s="45" t="s">
        <v>173</v>
      </c>
      <c r="B254" s="46"/>
      <c r="C254" s="46">
        <f t="shared" ref="C254:G254" si="50">SUM(C249:C253)</f>
        <v>6646.845423</v>
      </c>
      <c r="D254" s="46">
        <f t="shared" si="50"/>
        <v>5072.652353</v>
      </c>
      <c r="E254" s="46">
        <f t="shared" si="50"/>
        <v>111032.3157</v>
      </c>
      <c r="F254" s="46">
        <f t="shared" si="50"/>
        <v>91.35295995</v>
      </c>
      <c r="G254" s="46">
        <f t="shared" si="50"/>
        <v>0.5653819454</v>
      </c>
    </row>
    <row r="255" ht="14.25" customHeight="1">
      <c r="A255" s="43" t="s">
        <v>127</v>
      </c>
      <c r="B255" s="2" t="s">
        <v>146</v>
      </c>
      <c r="C255" s="2">
        <f>13720+91.44</f>
        <v>13811.44</v>
      </c>
      <c r="D255" s="2">
        <f>1490+9.94</f>
        <v>1499.94</v>
      </c>
      <c r="E255" s="2">
        <f>188410+1260</f>
        <v>189670</v>
      </c>
      <c r="F255" s="2">
        <f>67.41+0.45</f>
        <v>67.86</v>
      </c>
      <c r="G255" s="2">
        <f>0.44</f>
        <v>0.44</v>
      </c>
    </row>
    <row r="256" ht="14.25" customHeight="1">
      <c r="B256" s="2" t="s">
        <v>171</v>
      </c>
      <c r="C256" s="2">
        <f>Production!D1102+Production!D1103+Production!D1104+Production!D1105+Production!D1107</f>
        <v>697.5647772</v>
      </c>
      <c r="D256" s="2">
        <f>Production!E1102+Production!E1103+Production!E1104+Production!E1105+Production!E1107</f>
        <v>8.946684657</v>
      </c>
      <c r="E256" s="2">
        <f>Production!F1102+Production!F1103+Production!F1104+Production!F1105+Production!F1107</f>
        <v>102712.3305</v>
      </c>
      <c r="F256" s="2">
        <f>Production!G1102+Production!G1103+Production!G1104+Production!G1105+Production!G1107</f>
        <v>27.9424107</v>
      </c>
      <c r="G256" s="2">
        <f>Production!H1102+Production!H1103+Production!H1104+Production!H1105+Production!H1107</f>
        <v>0.1010999822</v>
      </c>
    </row>
    <row r="257" ht="14.25" customHeight="1">
      <c r="B257" s="2" t="s">
        <v>16</v>
      </c>
      <c r="C257" s="2">
        <f>Production!D1106</f>
        <v>162.2958402</v>
      </c>
      <c r="D257" s="2">
        <f>Production!E1106</f>
        <v>2.149420959</v>
      </c>
      <c r="E257" s="2">
        <f>Production!F1106</f>
        <v>4250.765018</v>
      </c>
      <c r="F257" s="2">
        <f>Production!G1106</f>
        <v>21.37841342</v>
      </c>
      <c r="G257" s="2">
        <f>Production!H1106</f>
        <v>1.911052647</v>
      </c>
    </row>
    <row r="258" ht="14.25" customHeight="1">
      <c r="B258" s="2" t="s">
        <v>18</v>
      </c>
      <c r="C258" s="2">
        <v>0.0</v>
      </c>
      <c r="D258" s="2">
        <v>0.0</v>
      </c>
      <c r="E258" s="2">
        <v>0.0</v>
      </c>
      <c r="F258" s="2">
        <v>0.0</v>
      </c>
      <c r="G258" s="2">
        <v>0.0</v>
      </c>
    </row>
    <row r="259" ht="14.25" customHeight="1">
      <c r="B259" s="2" t="s">
        <v>172</v>
      </c>
      <c r="C259" s="2">
        <f>'End of Life'!D632</f>
        <v>24.04</v>
      </c>
      <c r="D259" s="2">
        <f>'End of Life'!E632</f>
        <v>0</v>
      </c>
      <c r="E259" s="2">
        <f>'End of Life'!F632</f>
        <v>11.2</v>
      </c>
      <c r="F259" s="2">
        <f>'End of Life'!G632</f>
        <v>0.01</v>
      </c>
      <c r="G259" s="2">
        <f>'End of Life'!H632</f>
        <v>0.03</v>
      </c>
    </row>
    <row r="260" ht="14.25" customHeight="1">
      <c r="A260" s="45" t="s">
        <v>173</v>
      </c>
      <c r="B260" s="46"/>
      <c r="C260" s="46">
        <f t="shared" ref="C260:G260" si="51">SUM(C255:C259)</f>
        <v>14695.34062</v>
      </c>
      <c r="D260" s="46">
        <f t="shared" si="51"/>
        <v>1511.036106</v>
      </c>
      <c r="E260" s="46">
        <f t="shared" si="51"/>
        <v>296644.2955</v>
      </c>
      <c r="F260" s="46">
        <f t="shared" si="51"/>
        <v>117.1908241</v>
      </c>
      <c r="G260" s="46">
        <f t="shared" si="51"/>
        <v>2.482152629</v>
      </c>
    </row>
    <row r="261" ht="14.25" customHeight="1">
      <c r="A261" s="43" t="s">
        <v>191</v>
      </c>
      <c r="B261" s="2" t="s">
        <v>146</v>
      </c>
      <c r="C261" s="2">
        <f>426.75+89.1+6080+1730</f>
        <v>8325.85</v>
      </c>
      <c r="D261" s="2">
        <f>17.53+0.44+58.85+159.56</f>
        <v>236.38</v>
      </c>
      <c r="E261" s="2">
        <f>7890+2250+79430+29530</f>
        <v>119100</v>
      </c>
      <c r="F261" s="2">
        <f>3.55+1.14+37.78+19.95</f>
        <v>62.42</v>
      </c>
      <c r="G261" s="2">
        <f>0.02+0.15+0.08</f>
        <v>0.25</v>
      </c>
    </row>
    <row r="262" ht="14.25" customHeight="1">
      <c r="B262" s="2" t="s">
        <v>171</v>
      </c>
      <c r="C262" s="2">
        <f>Production!D1123</f>
        <v>62.94458466</v>
      </c>
      <c r="D262" s="2">
        <f>Production!E1123</f>
        <v>0.1340207658</v>
      </c>
      <c r="E262" s="2">
        <f>Production!F1123</f>
        <v>1341.008098</v>
      </c>
      <c r="F262" s="2">
        <f>Production!G1123</f>
        <v>1.310076908</v>
      </c>
      <c r="G262" s="2">
        <f>Production!H1123</f>
        <v>0.001852054338</v>
      </c>
    </row>
    <row r="263" ht="14.25" customHeight="1">
      <c r="B263" s="2" t="s">
        <v>16</v>
      </c>
      <c r="C263" s="2">
        <f>Production!D1122</f>
        <v>194.9441271</v>
      </c>
      <c r="D263" s="2">
        <f>Production!E1122</f>
        <v>2.579809017</v>
      </c>
      <c r="E263" s="2">
        <f>Production!F1122</f>
        <v>5104.07226</v>
      </c>
      <c r="F263" s="2">
        <f>Production!G1122</f>
        <v>25.68763592</v>
      </c>
      <c r="G263" s="2">
        <f>Production!H1122</f>
        <v>2.293264394</v>
      </c>
    </row>
    <row r="264" ht="14.25" customHeight="1">
      <c r="B264" s="2" t="s">
        <v>18</v>
      </c>
      <c r="C264" s="2">
        <f>0.07+1+0.05+0.19</f>
        <v>1.31</v>
      </c>
      <c r="D264" s="2">
        <f>0</f>
        <v>0</v>
      </c>
      <c r="E264" s="2">
        <f>0.03+1.09+16.62+0.84+3.15</f>
        <v>21.73</v>
      </c>
      <c r="F264" s="2">
        <f t="shared" ref="F264:G264" si="52">0</f>
        <v>0</v>
      </c>
      <c r="G264" s="2">
        <f t="shared" si="52"/>
        <v>0</v>
      </c>
    </row>
    <row r="265" ht="14.25" customHeight="1">
      <c r="B265" s="2" t="s">
        <v>172</v>
      </c>
      <c r="C265" s="2">
        <f>'End of Life'!D640</f>
        <v>180.81</v>
      </c>
      <c r="D265" s="2">
        <f>'End of Life'!E640</f>
        <v>0.03</v>
      </c>
      <c r="E265" s="2">
        <f>'End of Life'!F640</f>
        <v>93.03</v>
      </c>
      <c r="F265" s="2">
        <f>'End of Life'!G640</f>
        <v>0.12</v>
      </c>
      <c r="G265" s="2">
        <f>'End of Life'!H640</f>
        <v>0.17</v>
      </c>
    </row>
    <row r="266" ht="14.25" customHeight="1">
      <c r="A266" s="45" t="s">
        <v>173</v>
      </c>
      <c r="B266" s="46"/>
      <c r="C266" s="46">
        <f t="shared" ref="C266:G266" si="53">SUM(C261:C265)</f>
        <v>8765.858712</v>
      </c>
      <c r="D266" s="46">
        <f t="shared" si="53"/>
        <v>239.1238298</v>
      </c>
      <c r="E266" s="46">
        <f t="shared" si="53"/>
        <v>125659.8404</v>
      </c>
      <c r="F266" s="46">
        <f t="shared" si="53"/>
        <v>89.53771283</v>
      </c>
      <c r="G266" s="46">
        <f t="shared" si="53"/>
        <v>2.715116448</v>
      </c>
    </row>
    <row r="267" ht="14.25" customHeight="1">
      <c r="A267" s="43" t="s">
        <v>130</v>
      </c>
      <c r="B267" s="2" t="s">
        <v>146</v>
      </c>
      <c r="C267" s="2">
        <f>4150+85.64+149.29+14.45+33.71+7.22+8.06+52.51+10.59+4.33+2.36</f>
        <v>4518.16</v>
      </c>
      <c r="D267" s="2">
        <f>5.27+0.12+0.51+0.05+0.12+0.02+0.07+0.04+0.01+0.01</f>
        <v>6.22</v>
      </c>
      <c r="E267" s="2">
        <f>106790+2400+3030+293.34+684.46+146.67+161.86+1350+215.12+88+45.83</f>
        <v>115205.28</v>
      </c>
      <c r="F267" s="2">
        <f>30.54+0.76+1.96+0.19+0.44+0.1+0.09+0.39+0.14+0.06+0.03</f>
        <v>34.7</v>
      </c>
      <c r="G267" s="2">
        <f>0.58</f>
        <v>0.58</v>
      </c>
    </row>
    <row r="268" ht="14.25" customHeight="1">
      <c r="B268" s="2" t="s">
        <v>171</v>
      </c>
      <c r="C268" s="2">
        <f>4964.08-4948.59</f>
        <v>15.49</v>
      </c>
      <c r="D268" s="2">
        <f>6.83-6.63</f>
        <v>0.2</v>
      </c>
      <c r="E268" s="2">
        <f>119467.55-117185.29</f>
        <v>2282.26</v>
      </c>
      <c r="F268" s="2">
        <f>38.46-37.84</f>
        <v>0.62</v>
      </c>
      <c r="G268" s="2">
        <f>0.6-0.6</f>
        <v>0</v>
      </c>
    </row>
    <row r="269" ht="14.25" customHeight="1">
      <c r="B269" s="2" t="s">
        <v>16</v>
      </c>
      <c r="C269" s="2">
        <f>Production!D1139+Production!D1140+Production!D1141+Production!D1159</f>
        <v>217.9451065</v>
      </c>
      <c r="D269" s="2">
        <f>Production!E1139+Production!E1140+Production!E1141+Production!E1159</f>
        <v>0.6432700269</v>
      </c>
      <c r="E269" s="2">
        <f>Production!F1139+Production!F1140+Production!F1141+Production!F1159</f>
        <v>5602.92668</v>
      </c>
      <c r="F269" s="2">
        <f>Production!G1139+Production!G1140+Production!G1141+Production!G1159</f>
        <v>3.931650566</v>
      </c>
      <c r="G269" s="2">
        <f>Production!H1139+Production!H1140+Production!H1141+Production!H1159</f>
        <v>0.01745417943</v>
      </c>
    </row>
    <row r="270" ht="14.25" customHeight="1">
      <c r="B270" s="2" t="s">
        <v>18</v>
      </c>
      <c r="C270" s="2">
        <f>11.86+0.3+4.65+0.36+0.84+0.17+0.02</f>
        <v>18.2</v>
      </c>
      <c r="D270" s="2">
        <f>0</f>
        <v>0</v>
      </c>
      <c r="E270" s="2">
        <f>197.77+5.01+77.6+6.01+14.02+2.8+0.28</f>
        <v>303.49</v>
      </c>
      <c r="F270" s="2">
        <f>0.01+0.03</f>
        <v>0.04</v>
      </c>
      <c r="G270" s="2">
        <v>0.0</v>
      </c>
    </row>
    <row r="271" ht="14.25" customHeight="1">
      <c r="B271" s="2" t="s">
        <v>172</v>
      </c>
      <c r="C271" s="2">
        <f>'End of Life'!D653+'End of Life'!D659</f>
        <v>281.73</v>
      </c>
      <c r="D271" s="2">
        <f>'End of Life'!E653+'End of Life'!E659</f>
        <v>0.04</v>
      </c>
      <c r="E271" s="2">
        <f>'End of Life'!F653+'End of Life'!F659</f>
        <v>57.17</v>
      </c>
      <c r="F271" s="2">
        <f>'End of Life'!G653+'End of Life'!G659</f>
        <v>0.41</v>
      </c>
      <c r="G271" s="2">
        <f>'End of Life'!H653+'End of Life'!H659</f>
        <v>0</v>
      </c>
    </row>
    <row r="272" ht="14.25" customHeight="1">
      <c r="A272" s="45" t="s">
        <v>173</v>
      </c>
      <c r="B272" s="46"/>
      <c r="C272" s="46">
        <f t="shared" ref="C272:G272" si="54">SUM(C267:C271)</f>
        <v>5051.525106</v>
      </c>
      <c r="D272" s="46">
        <f t="shared" si="54"/>
        <v>7.103270027</v>
      </c>
      <c r="E272" s="46">
        <f t="shared" si="54"/>
        <v>123451.1267</v>
      </c>
      <c r="F272" s="46">
        <f t="shared" si="54"/>
        <v>39.70165057</v>
      </c>
      <c r="G272" s="46">
        <f t="shared" si="54"/>
        <v>0.5974541794</v>
      </c>
      <c r="I272" s="2"/>
      <c r="J272" s="2"/>
      <c r="K272" s="2"/>
      <c r="L272" s="2"/>
      <c r="M272" s="2"/>
    </row>
    <row r="273" ht="14.25" customHeight="1">
      <c r="A273" s="43" t="s">
        <v>192</v>
      </c>
      <c r="B273" s="2" t="s">
        <v>146</v>
      </c>
      <c r="C273" s="2">
        <f>7.48+3.61+2.99+2.99+1.8+9.63</f>
        <v>28.5</v>
      </c>
      <c r="D273" s="2">
        <f>0.07+0.01*4+0.03</f>
        <v>0.14</v>
      </c>
      <c r="E273" s="2">
        <f>113.4+73.34+54.98+54.98+37.69+195.56</f>
        <v>529.95</v>
      </c>
      <c r="F273" s="2">
        <f>0.06+0.05*3+0.02+0.13</f>
        <v>0.36</v>
      </c>
      <c r="G273" s="2">
        <v>0.0</v>
      </c>
      <c r="I273" s="2"/>
      <c r="J273" s="2"/>
      <c r="K273" s="2"/>
      <c r="L273" s="2"/>
      <c r="M273" s="2"/>
    </row>
    <row r="274" ht="14.25" customHeight="1">
      <c r="B274" s="2" t="s">
        <v>171</v>
      </c>
      <c r="C274" s="2">
        <f>Production!D1177+Production!D1178+Production!D1180+Production!D1197</f>
        <v>42.99926248</v>
      </c>
      <c r="D274" s="2">
        <f>Production!E1177+Production!E1178+Production!E1180+Production!E1197</f>
        <v>0.3610139179</v>
      </c>
      <c r="E274" s="2">
        <f>Production!F1177+Production!F1178+Production!F1180+Production!F1197</f>
        <v>4130.670877</v>
      </c>
      <c r="F274" s="2">
        <f>Production!G1177+Production!G1178+Production!G1180+Production!G1197</f>
        <v>1.345522431</v>
      </c>
      <c r="G274" s="2">
        <f>Production!H1177+Production!H1178+Production!H1180+Production!H1197</f>
        <v>0.004916832129</v>
      </c>
      <c r="I274" s="2"/>
      <c r="J274" s="2"/>
      <c r="K274" s="2"/>
      <c r="L274" s="2"/>
      <c r="M274" s="2"/>
    </row>
    <row r="275" ht="14.25" customHeight="1">
      <c r="B275" s="2" t="s">
        <v>16</v>
      </c>
      <c r="C275" s="2">
        <f>Production!D1175+Production!D1176+Production!D1179+Production!D1196</f>
        <v>51.99913461</v>
      </c>
      <c r="D275" s="2">
        <f>Production!E1175+Production!E1176+Production!E1179+Production!E1196</f>
        <v>0.654146656</v>
      </c>
      <c r="E275" s="2">
        <f>Production!F1175+Production!F1176+Production!F1179+Production!F1196</f>
        <v>1343.679053</v>
      </c>
      <c r="F275" s="2">
        <f>Production!G1175+Production!G1176+Production!G1179+Production!G1196</f>
        <v>6.459461896</v>
      </c>
      <c r="G275" s="2">
        <f>Production!H1175+Production!H1176+Production!H1179+Production!H1196</f>
        <v>0.5735352829</v>
      </c>
    </row>
    <row r="276" ht="14.25" customHeight="1">
      <c r="B276" s="2" t="s">
        <v>18</v>
      </c>
      <c r="C276" s="2">
        <f>0.06+0.03*4+0.07+0.01+0.28</f>
        <v>0.54</v>
      </c>
      <c r="D276" s="2">
        <f>0</f>
        <v>0</v>
      </c>
      <c r="E276" s="2">
        <f>1.06+0.57+0.46+0.46+0.46+1.14+0.03+0.15+4.73</f>
        <v>9.06</v>
      </c>
      <c r="F276" s="2">
        <v>0.0</v>
      </c>
      <c r="G276" s="2">
        <v>0.0</v>
      </c>
    </row>
    <row r="277" ht="14.25" customHeight="1">
      <c r="B277" s="2" t="s">
        <v>172</v>
      </c>
      <c r="C277" s="2">
        <f>'End of Life'!D675</f>
        <v>13.92</v>
      </c>
      <c r="D277" s="2">
        <f>'End of Life'!E675</f>
        <v>0</v>
      </c>
      <c r="E277" s="2">
        <f>'End of Life'!F675</f>
        <v>6.11</v>
      </c>
      <c r="F277" s="2">
        <f>'End of Life'!G675</f>
        <v>0</v>
      </c>
      <c r="G277" s="2">
        <f>'End of Life'!H675</f>
        <v>0.01</v>
      </c>
    </row>
    <row r="278" ht="14.25" customHeight="1">
      <c r="A278" s="45" t="s">
        <v>173</v>
      </c>
      <c r="B278" s="46"/>
      <c r="C278" s="46">
        <f t="shared" ref="C278:G278" si="55">SUM(C273:C277)</f>
        <v>137.9583971</v>
      </c>
      <c r="D278" s="46">
        <f t="shared" si="55"/>
        <v>1.155160574</v>
      </c>
      <c r="E278" s="46">
        <f t="shared" si="55"/>
        <v>6019.46993</v>
      </c>
      <c r="F278" s="46">
        <f t="shared" si="55"/>
        <v>8.164984326</v>
      </c>
      <c r="G278" s="46">
        <f t="shared" si="55"/>
        <v>0.588452115</v>
      </c>
      <c r="I278" s="2"/>
      <c r="J278" s="2"/>
      <c r="K278" s="2"/>
      <c r="L278" s="2"/>
      <c r="M278" s="2"/>
    </row>
    <row r="279" ht="14.25" customHeight="1">
      <c r="A279" s="43" t="s">
        <v>193</v>
      </c>
      <c r="B279" s="2" t="s">
        <v>146</v>
      </c>
      <c r="C279" s="2">
        <f>66.72+256.75+7.12</f>
        <v>330.59</v>
      </c>
      <c r="D279" s="2">
        <f>0.04+10.55+0.04</f>
        <v>10.63</v>
      </c>
      <c r="E279" s="2">
        <f>1060+4750+179.98</f>
        <v>5989.98</v>
      </c>
      <c r="F279" s="2">
        <f>1.53+2.14+0.09</f>
        <v>3.76</v>
      </c>
      <c r="G279" s="2">
        <f>0.01*2</f>
        <v>0.02</v>
      </c>
      <c r="I279" s="2"/>
      <c r="J279" s="2"/>
      <c r="K279" s="2"/>
      <c r="L279" s="2"/>
      <c r="M279" s="2"/>
    </row>
    <row r="280" ht="14.25" customHeight="1">
      <c r="B280" s="2" t="s">
        <v>171</v>
      </c>
      <c r="C280" s="2">
        <f>Production!D1208</f>
        <v>10.35431739</v>
      </c>
      <c r="D280" s="2">
        <f>Production!E1208</f>
        <v>0.0251651463</v>
      </c>
      <c r="E280" s="2">
        <f>Production!F1208</f>
        <v>275.0613427</v>
      </c>
      <c r="F280" s="2">
        <f>Production!G1208</f>
        <v>0.2015771593</v>
      </c>
      <c r="G280" s="2">
        <f>Production!H1208</f>
        <v>0.000763250123</v>
      </c>
      <c r="I280" s="2"/>
      <c r="J280" s="2"/>
      <c r="K280" s="2"/>
      <c r="L280" s="2"/>
      <c r="M280" s="2"/>
    </row>
    <row r="281" ht="14.25" customHeight="1">
      <c r="B281" s="2" t="s">
        <v>16</v>
      </c>
      <c r="C281" s="2">
        <f>Production!D1207</f>
        <v>32.85073226</v>
      </c>
      <c r="D281" s="2">
        <f>Production!E1207</f>
        <v>0.4308351222</v>
      </c>
      <c r="E281" s="2">
        <f>Production!F1207</f>
        <v>855.4782881</v>
      </c>
      <c r="F281" s="2">
        <f>Production!G1207</f>
        <v>4.275971333</v>
      </c>
      <c r="G281" s="2">
        <f>Production!H1207</f>
        <v>0.382212138</v>
      </c>
    </row>
    <row r="282" ht="14.25" customHeight="1">
      <c r="B282" s="2" t="s">
        <v>18</v>
      </c>
      <c r="C282" s="2">
        <f>0.39</f>
        <v>0.39</v>
      </c>
      <c r="D282" s="2">
        <v>0.0</v>
      </c>
      <c r="E282" s="2">
        <v>5.33</v>
      </c>
      <c r="F282" s="2">
        <v>0.0</v>
      </c>
      <c r="G282" s="2">
        <v>0.0</v>
      </c>
    </row>
    <row r="283" ht="14.25" customHeight="1">
      <c r="B283" s="2" t="s">
        <v>172</v>
      </c>
      <c r="C283" s="2">
        <f>'End of Life'!D687</f>
        <v>4.76</v>
      </c>
      <c r="D283" s="2">
        <f>'End of Life'!E687</f>
        <v>0</v>
      </c>
      <c r="E283" s="2">
        <f>'End of Life'!F687</f>
        <v>2.22</v>
      </c>
      <c r="F283" s="2">
        <f>'End of Life'!G687</f>
        <v>0</v>
      </c>
      <c r="G283" s="2">
        <f>'End of Life'!H687</f>
        <v>0.01</v>
      </c>
    </row>
    <row r="284" ht="14.25" customHeight="1">
      <c r="A284" s="45" t="s">
        <v>173</v>
      </c>
      <c r="B284" s="46"/>
      <c r="C284" s="46">
        <f t="shared" ref="C284:G284" si="56">SUM(C279:C283)</f>
        <v>378.9450496</v>
      </c>
      <c r="D284" s="46">
        <f t="shared" si="56"/>
        <v>11.08600027</v>
      </c>
      <c r="E284" s="46">
        <f t="shared" si="56"/>
        <v>7128.069631</v>
      </c>
      <c r="F284" s="46">
        <f t="shared" si="56"/>
        <v>8.237548492</v>
      </c>
      <c r="G284" s="46">
        <f t="shared" si="56"/>
        <v>0.4129753881</v>
      </c>
    </row>
    <row r="285" ht="14.25" customHeight="1">
      <c r="A285" s="43" t="s">
        <v>194</v>
      </c>
      <c r="B285" s="2" t="s">
        <v>146</v>
      </c>
      <c r="C285" s="2">
        <f>1160+38.53+3.93+9.63+24.08+5.06+1210+154.1+57.79+30.38</f>
        <v>2693.5</v>
      </c>
      <c r="D285" s="2">
        <f>1.47+0.13+0.01+0.03+0.08+0.02+1.53+0.53+0.2+0.12</f>
        <v>4.12</v>
      </c>
      <c r="E285" s="2">
        <f>29740+782.24+97.34+195.56+488.9+98.21+31090+3130+1170+589.26</f>
        <v>67381.51</v>
      </c>
      <c r="F285" s="2">
        <f>8.51+0.51+0.05+0.13+0.32+0.06+8.89+2.03+0.76+0.37</f>
        <v>21.63</v>
      </c>
      <c r="G285" s="2">
        <f>0.16*2</f>
        <v>0.32</v>
      </c>
    </row>
    <row r="286" ht="14.25" customHeight="1">
      <c r="B286" s="2" t="s">
        <v>171</v>
      </c>
      <c r="C286" s="2">
        <f>Production!D1227+Production!D1228</f>
        <v>34.14409315</v>
      </c>
      <c r="D286" s="2">
        <f>Production!E1227+Production!E1228</f>
        <v>0.4383095674</v>
      </c>
      <c r="E286" s="2">
        <f>Production!F1227+Production!F1228</f>
        <v>5030.107128</v>
      </c>
      <c r="F286" s="2">
        <f>Production!G1227+Production!G1228</f>
        <v>1.368420215</v>
      </c>
      <c r="G286" s="2">
        <f>Production!H1227+Production!H1228</f>
        <v>0.004953158208</v>
      </c>
    </row>
    <row r="287" ht="14.25" customHeight="1">
      <c r="B287" s="2" t="s">
        <v>16</v>
      </c>
      <c r="C287" s="2">
        <f>Production!D1224+Production!D1225+Production!D1226</f>
        <v>201.372491</v>
      </c>
      <c r="D287" s="2">
        <f>Production!E1224+Production!E1225+Production!E1226</f>
        <v>0.5297091147</v>
      </c>
      <c r="E287" s="2">
        <f>Production!F1224+Production!F1225+Production!F1226</f>
        <v>4907.405636</v>
      </c>
      <c r="F287" s="2">
        <f>Production!G1224+Production!G1225+Production!G1226</f>
        <v>3.558062144</v>
      </c>
      <c r="G287" s="2">
        <f>Production!H1224+Production!H1225+Production!H1226</f>
        <v>0.01436777811</v>
      </c>
    </row>
    <row r="288" ht="14.25" customHeight="1">
      <c r="B288" s="2" t="s">
        <v>18</v>
      </c>
      <c r="C288" s="2">
        <f>1.01+1.44+3.84+2.76+0.17+0.6+0.24+0.15+1.2+3.3</f>
        <v>14.71</v>
      </c>
      <c r="D288" s="2">
        <f>0.01*3</f>
        <v>0.03</v>
      </c>
      <c r="E288" s="2">
        <f>16.82+24.03+64.09+46.06+2.8+10.01+4.01+2.5+20.03+55.07</f>
        <v>245.42</v>
      </c>
      <c r="F288" s="2">
        <f>0.01*3</f>
        <v>0.03</v>
      </c>
      <c r="G288" s="2">
        <f>0</f>
        <v>0</v>
      </c>
    </row>
    <row r="289" ht="14.25" customHeight="1">
      <c r="B289" s="2" t="s">
        <v>172</v>
      </c>
      <c r="C289" s="2">
        <f>'End of Life'!D701+'End of Life'!D707</f>
        <v>72.97</v>
      </c>
      <c r="D289" s="2">
        <f>'End of Life'!E701+'End of Life'!E707</f>
        <v>0.01</v>
      </c>
      <c r="E289" s="2">
        <f>'End of Life'!F701+'End of Life'!F707</f>
        <v>14.82</v>
      </c>
      <c r="F289" s="2">
        <f>'End of Life'!G701+'End of Life'!G707</f>
        <v>0.11</v>
      </c>
      <c r="G289" s="2">
        <f>'End of Life'!H701+'End of Life'!H707</f>
        <v>0</v>
      </c>
    </row>
    <row r="290" ht="14.25" customHeight="1">
      <c r="A290" s="45" t="s">
        <v>173</v>
      </c>
      <c r="B290" s="46"/>
      <c r="C290" s="46">
        <f t="shared" ref="C290:G290" si="57">SUM(C285:C289)</f>
        <v>3016.696584</v>
      </c>
      <c r="D290" s="46">
        <f t="shared" si="57"/>
        <v>5.128018682</v>
      </c>
      <c r="E290" s="46">
        <f t="shared" si="57"/>
        <v>77579.26276</v>
      </c>
      <c r="F290" s="46">
        <f t="shared" si="57"/>
        <v>26.69648236</v>
      </c>
      <c r="G290" s="46">
        <f t="shared" si="57"/>
        <v>0.3393209363</v>
      </c>
      <c r="I290" s="2"/>
      <c r="J290" s="2"/>
      <c r="K290" s="2"/>
      <c r="L290" s="2"/>
      <c r="M290" s="2"/>
    </row>
    <row r="291" ht="14.25" customHeight="1">
      <c r="A291" s="43" t="s">
        <v>135</v>
      </c>
      <c r="B291" s="2" t="s">
        <v>146</v>
      </c>
      <c r="C291" s="2">
        <f>234.39+43.54+34.07+165.36+1410+4.65</f>
        <v>1892.01</v>
      </c>
      <c r="D291" s="2">
        <f>0.04+0.08+0.11+0.77+1.01+0.39</f>
        <v>2.4</v>
      </c>
      <c r="E291" s="2">
        <f>3030+1300+759.55+3280+19200+94.25</f>
        <v>27663.8</v>
      </c>
      <c r="F291" s="2">
        <f>1.73+0.46+0.42+3.03+8.59+0.12</f>
        <v>14.35</v>
      </c>
      <c r="G291" s="2">
        <f>0.1</f>
        <v>0.1</v>
      </c>
      <c r="I291" s="2"/>
      <c r="J291" s="2"/>
      <c r="K291" s="2"/>
      <c r="L291" s="2"/>
      <c r="M291" s="2"/>
    </row>
    <row r="292" ht="14.25" customHeight="1">
      <c r="B292" s="2" t="s">
        <v>171</v>
      </c>
      <c r="C292" s="2">
        <f>Production!D1258+Production!D1262</f>
        <v>52.79594478</v>
      </c>
      <c r="D292" s="2">
        <f>Production!E1258+Production!E1262</f>
        <v>0.1167867603</v>
      </c>
      <c r="E292" s="2">
        <f>Production!F1258+Production!F1262</f>
        <v>1236.931481</v>
      </c>
      <c r="F292" s="2">
        <f>Production!G1258+Production!G1262</f>
        <v>0.8017852918</v>
      </c>
      <c r="G292" s="2">
        <f>Production!H1258+Production!H1262</f>
        <v>0.003151827576</v>
      </c>
      <c r="I292" s="2"/>
      <c r="J292" s="2"/>
      <c r="K292" s="2"/>
      <c r="L292" s="2"/>
      <c r="M292" s="2"/>
    </row>
    <row r="293" ht="14.25" customHeight="1">
      <c r="B293" s="2" t="s">
        <v>16</v>
      </c>
      <c r="C293" s="2">
        <f>Production!D1261</f>
        <v>49.16154921</v>
      </c>
      <c r="D293" s="2">
        <f>Production!E1261</f>
        <v>0.6460859538</v>
      </c>
      <c r="E293" s="2">
        <f>Production!F1261</f>
        <v>1283.115102</v>
      </c>
      <c r="F293" s="2">
        <f>Production!G1261</f>
        <v>6.414420917</v>
      </c>
      <c r="G293" s="2">
        <f>Production!H1261</f>
        <v>0.5733188383</v>
      </c>
    </row>
    <row r="294" ht="14.25" customHeight="1">
      <c r="B294" s="2" t="s">
        <v>18</v>
      </c>
      <c r="C294" s="2">
        <f>11.01+6.8+4.63+4.62+2.16+137.1+0.11+0.47</f>
        <v>166.9</v>
      </c>
      <c r="D294" s="2">
        <f>0.05+0.01+0.02+0.01+0.02+0.03</f>
        <v>0.14</v>
      </c>
      <c r="E294" s="2">
        <f>178.62+110.27+73.39+65.49+34.21+2050+1.79+7.89</f>
        <v>2521.66</v>
      </c>
      <c r="F294" s="2">
        <f>0.06+0.01*3+0.02</f>
        <v>0.11</v>
      </c>
      <c r="G294" s="2">
        <f>0</f>
        <v>0</v>
      </c>
    </row>
    <row r="295" ht="14.25" customHeight="1">
      <c r="B295" s="2" t="s">
        <v>172</v>
      </c>
      <c r="C295" s="2">
        <f>'End of Life'!D719</f>
        <v>74.87</v>
      </c>
      <c r="D295" s="2">
        <f>'End of Life'!E719</f>
        <v>0</v>
      </c>
      <c r="E295" s="2">
        <f>'End of Life'!F719</f>
        <v>34.87</v>
      </c>
      <c r="F295" s="2">
        <f>'End of Life'!G719</f>
        <v>0.03</v>
      </c>
      <c r="G295" s="2">
        <f>'End of Life'!H719</f>
        <v>0.08</v>
      </c>
    </row>
    <row r="296" ht="14.25" customHeight="1">
      <c r="A296" s="45" t="s">
        <v>173</v>
      </c>
      <c r="B296" s="46"/>
      <c r="C296" s="46">
        <f t="shared" ref="C296:G296" si="58">SUM(C291:C295)</f>
        <v>2235.737494</v>
      </c>
      <c r="D296" s="46">
        <f t="shared" si="58"/>
        <v>3.302872714</v>
      </c>
      <c r="E296" s="46">
        <f t="shared" si="58"/>
        <v>32740.37658</v>
      </c>
      <c r="F296" s="46">
        <f t="shared" si="58"/>
        <v>21.70620621</v>
      </c>
      <c r="G296" s="46">
        <f t="shared" si="58"/>
        <v>0.7564706659</v>
      </c>
    </row>
    <row r="297" ht="14.25" customHeight="1">
      <c r="A297" s="43" t="s">
        <v>136</v>
      </c>
      <c r="B297" s="2" t="s">
        <v>146</v>
      </c>
      <c r="C297" s="2">
        <f>8360+709.17+548.08+368.4+31.3+34.67</f>
        <v>10051.62</v>
      </c>
      <c r="D297" s="2">
        <f>9.77+0.83+0.78+1.26+0.11+0.12</f>
        <v>12.87</v>
      </c>
      <c r="E297" s="2">
        <f>202850+17220+15330+7480+635.57+704.02</f>
        <v>244219.59</v>
      </c>
      <c r="F297" s="2">
        <f>53.21+4.52+4.87+4.85+0.41+0.46</f>
        <v>68.32</v>
      </c>
      <c r="G297" s="2">
        <f>0.97+0.08+0.09+0.01</f>
        <v>1.15</v>
      </c>
    </row>
    <row r="298" ht="14.25" customHeight="1">
      <c r="B298" s="2" t="s">
        <v>171</v>
      </c>
      <c r="C298" s="2">
        <f>Production!D1284+Production!D1285+Production!D1287</f>
        <v>38.18673883</v>
      </c>
      <c r="D298" s="2">
        <f>Production!E1284+Production!E1285+Production!E1287</f>
        <v>0.4801352432</v>
      </c>
      <c r="E298" s="2">
        <f>Production!F1284+Production!F1285+Production!F1287</f>
        <v>5559.017276</v>
      </c>
      <c r="F298" s="2">
        <f>Production!G1284+Production!G1285+Production!G1287</f>
        <v>1.512230385</v>
      </c>
      <c r="G298" s="2">
        <f>Production!H1284+Production!H1285+Production!H1287</f>
        <v>0.005422205191</v>
      </c>
    </row>
    <row r="299" ht="14.25" customHeight="1">
      <c r="B299" s="2" t="s">
        <v>16</v>
      </c>
      <c r="C299" s="2">
        <f>Production!D1282+Production!D1283+Production!D1286</f>
        <v>270.9519808</v>
      </c>
      <c r="D299" s="2">
        <f>Production!E1282+Production!E1283+Production!E1286</f>
        <v>2.897492444</v>
      </c>
      <c r="E299" s="2">
        <f>Production!F1282+Production!F1283+Production!F1286</f>
        <v>6748.76712</v>
      </c>
      <c r="F299" s="2">
        <f>Production!G1282+Production!G1283+Production!G1286</f>
        <v>27.93306534</v>
      </c>
      <c r="G299" s="2">
        <f>Production!H1282+Production!H1283+Production!H1286</f>
        <v>2.412450988</v>
      </c>
    </row>
    <row r="300" ht="14.25" customHeight="1">
      <c r="B300" s="2" t="s">
        <v>18</v>
      </c>
      <c r="C300" s="2">
        <f>6.78+0.58+0.64+3.83+0.33+0.36+0.06+0.32+1.99</f>
        <v>14.89</v>
      </c>
      <c r="D300" s="2">
        <f>0.01+0.03</f>
        <v>0.04</v>
      </c>
      <c r="E300" s="2">
        <f>113.07+9.6+10.68+63.84+5.42+6.01+1.07+5.37+33.12</f>
        <v>248.18</v>
      </c>
      <c r="F300" s="2">
        <f>0.02</f>
        <v>0.02</v>
      </c>
      <c r="G300" s="2">
        <f>0</f>
        <v>0</v>
      </c>
    </row>
    <row r="301" ht="14.25" customHeight="1">
      <c r="B301" s="2" t="s">
        <v>172</v>
      </c>
      <c r="C301" s="2">
        <f>'End of Life'!D735</f>
        <v>154.51</v>
      </c>
      <c r="D301" s="2">
        <f>'End of Life'!E735</f>
        <v>0.15</v>
      </c>
      <c r="E301" s="2">
        <f>'End of Life'!F735</f>
        <v>100.75</v>
      </c>
      <c r="F301" s="2">
        <f>'End of Life'!G735</f>
        <v>0.36</v>
      </c>
      <c r="G301" s="2">
        <f>'End of Life'!H735</f>
        <v>0</v>
      </c>
    </row>
    <row r="302" ht="14.25" customHeight="1">
      <c r="A302" s="45" t="s">
        <v>173</v>
      </c>
      <c r="B302" s="46"/>
      <c r="C302" s="46">
        <f t="shared" ref="C302:G302" si="59">SUM(C297:C301)</f>
        <v>10530.15872</v>
      </c>
      <c r="D302" s="46">
        <f t="shared" si="59"/>
        <v>16.43762769</v>
      </c>
      <c r="E302" s="46">
        <f t="shared" si="59"/>
        <v>256876.3044</v>
      </c>
      <c r="F302" s="46">
        <f t="shared" si="59"/>
        <v>98.14529572</v>
      </c>
      <c r="G302" s="46">
        <f t="shared" si="59"/>
        <v>3.567873193</v>
      </c>
    </row>
    <row r="303" ht="14.25" customHeight="1">
      <c r="A303" s="43" t="s">
        <v>137</v>
      </c>
      <c r="B303" s="2" t="s">
        <v>146</v>
      </c>
      <c r="C303" s="2">
        <f>240.2+44.64+35.06+169.51+273.9+4.76</f>
        <v>768.07</v>
      </c>
      <c r="D303" s="2">
        <f>0.04+0.08+0.11+0.79+0.2+0.4</f>
        <v>1.62</v>
      </c>
      <c r="E303" s="2">
        <f>3110+1330+781.66+3360+3720+96.45</f>
        <v>12398.11</v>
      </c>
      <c r="F303" s="2">
        <f>1.77+0.47+0.43+3.1+1.66+0.12</f>
        <v>7.55</v>
      </c>
      <c r="G303" s="2">
        <f>0.01+0.05+0.01</f>
        <v>0.07</v>
      </c>
    </row>
    <row r="304" ht="14.25" customHeight="1">
      <c r="B304" s="2" t="s">
        <v>171</v>
      </c>
      <c r="C304" s="2">
        <f>Production!D1308+Production!D1312</f>
        <v>58.92326108</v>
      </c>
      <c r="D304" s="2">
        <f>Production!E1308+Production!E1312</f>
        <v>0.1437895341</v>
      </c>
      <c r="E304" s="2">
        <f>Production!F1308+Production!F1312</f>
        <v>1278.334153</v>
      </c>
      <c r="F304" s="2">
        <f>Production!G1308+Production!G1312</f>
        <v>0.8248626757</v>
      </c>
      <c r="G304" s="2">
        <f>Production!H1308+Production!H1312</f>
        <v>0.003369907926</v>
      </c>
    </row>
    <row r="305" ht="14.25" customHeight="1">
      <c r="B305" s="2" t="s">
        <v>16</v>
      </c>
      <c r="C305" s="2">
        <f>Production!D1311</f>
        <v>52.43898582</v>
      </c>
      <c r="D305" s="2">
        <f>Production!E1311</f>
        <v>0.6891583507</v>
      </c>
      <c r="E305" s="2">
        <f>Production!F1311</f>
        <v>1368.656109</v>
      </c>
      <c r="F305" s="2">
        <f>Production!G1311</f>
        <v>6.842048978</v>
      </c>
      <c r="G305" s="2">
        <f>Production!H1311</f>
        <v>0.6115400942</v>
      </c>
    </row>
    <row r="306" ht="14.25" customHeight="1">
      <c r="B306" s="2" t="s">
        <v>18</v>
      </c>
      <c r="C306" s="2">
        <f>11.29+6.97+4.76+4.73+2.21+26.56+0.11+0.5</f>
        <v>57.13</v>
      </c>
      <c r="D306" s="2">
        <f>0.03+0.02+0.01+0.02+0.01+0.01</f>
        <v>0.1</v>
      </c>
      <c r="E306" s="2">
        <f>183.05+113.06+75.52+67.13+35.03+397.83+1.84+8.41</f>
        <v>881.87</v>
      </c>
      <c r="F306" s="2">
        <f>0.01*4+0.02</f>
        <v>0.06</v>
      </c>
      <c r="G306" s="2">
        <f>0</f>
        <v>0</v>
      </c>
    </row>
    <row r="307" ht="14.25" customHeight="1">
      <c r="B307" s="2" t="s">
        <v>172</v>
      </c>
      <c r="C307" s="2">
        <f>'End of Life'!D748</f>
        <v>67.08</v>
      </c>
      <c r="D307" s="2">
        <f>'End of Life'!E748</f>
        <v>0</v>
      </c>
      <c r="E307" s="2">
        <f>'End of Life'!F748</f>
        <v>31.22</v>
      </c>
      <c r="F307" s="2">
        <f>'End of Life'!G748</f>
        <v>0.02</v>
      </c>
      <c r="G307" s="2">
        <f>'End of Life'!H748</f>
        <v>0.07</v>
      </c>
    </row>
    <row r="308" ht="14.25" customHeight="1">
      <c r="A308" s="45" t="s">
        <v>173</v>
      </c>
      <c r="B308" s="46"/>
      <c r="C308" s="46">
        <f t="shared" ref="C308:G308" si="60">SUM(C303:C307)</f>
        <v>1003.642247</v>
      </c>
      <c r="D308" s="46">
        <f t="shared" si="60"/>
        <v>2.552947885</v>
      </c>
      <c r="E308" s="46">
        <f t="shared" si="60"/>
        <v>15958.19026</v>
      </c>
      <c r="F308" s="46">
        <f t="shared" si="60"/>
        <v>15.29691165</v>
      </c>
      <c r="G308" s="46">
        <f t="shared" si="60"/>
        <v>0.7549100021</v>
      </c>
    </row>
    <row r="309" ht="14.25" customHeight="1">
      <c r="A309" s="43" t="s">
        <v>195</v>
      </c>
      <c r="B309" s="2" t="s">
        <v>146</v>
      </c>
      <c r="C309" s="2">
        <f>7.49+21.32+95.89+82.16</f>
        <v>206.86</v>
      </c>
      <c r="D309" s="2">
        <f>0.04+0.88+0.48+3.93</f>
        <v>5.33</v>
      </c>
      <c r="E309" s="2">
        <f>189.18+394.2+2420+1200</f>
        <v>4203.38</v>
      </c>
      <c r="F309" s="2">
        <f>0.1+0.18+1.22+0.88</f>
        <v>2.38</v>
      </c>
      <c r="G309" s="2">
        <v>0.0</v>
      </c>
    </row>
    <row r="310" ht="14.25" customHeight="1">
      <c r="B310" s="2" t="s">
        <v>171</v>
      </c>
      <c r="C310" s="2">
        <f>Production!D1329</f>
        <v>63.97224876</v>
      </c>
      <c r="D310" s="2">
        <f>Production!E1329</f>
        <v>0.1677123179</v>
      </c>
      <c r="E310" s="2">
        <f>Production!F1329</f>
        <v>2193.243235</v>
      </c>
      <c r="F310" s="2">
        <f>Production!G1329</f>
        <v>1.240964286</v>
      </c>
      <c r="G310" s="2">
        <f>Production!H1329</f>
        <v>0.00397827882</v>
      </c>
    </row>
    <row r="311" ht="14.25" customHeight="1">
      <c r="B311" s="2" t="s">
        <v>16</v>
      </c>
      <c r="C311" s="2">
        <f>Production!D1328</f>
        <v>196.6461968</v>
      </c>
      <c r="D311" s="2">
        <f>Production!E1328</f>
        <v>2.584343815</v>
      </c>
      <c r="E311" s="2">
        <f>Production!F1328</f>
        <v>5132.46041</v>
      </c>
      <c r="F311" s="2">
        <f>Production!G1328</f>
        <v>25.65768367</v>
      </c>
      <c r="G311" s="2">
        <f>Production!H1328</f>
        <v>2.293275353</v>
      </c>
    </row>
    <row r="312" ht="14.25" customHeight="1">
      <c r="B312" s="2" t="s">
        <v>18</v>
      </c>
      <c r="C312" s="2">
        <f>0.09+1.89</f>
        <v>1.98</v>
      </c>
      <c r="D312" s="2">
        <f>0.01</f>
        <v>0.01</v>
      </c>
      <c r="E312" s="2">
        <f>1.57+31.54</f>
        <v>33.11</v>
      </c>
      <c r="F312" s="2">
        <v>0.0</v>
      </c>
      <c r="G312" s="2">
        <v>0.0</v>
      </c>
    </row>
    <row r="313" ht="14.25" customHeight="1">
      <c r="B313" s="2" t="s">
        <v>172</v>
      </c>
      <c r="C313" s="2">
        <f>'End of Life'!D756</f>
        <v>52.14</v>
      </c>
      <c r="D313" s="2">
        <f>'End of Life'!E756</f>
        <v>0.01</v>
      </c>
      <c r="E313" s="2">
        <f>'End of Life'!F756</f>
        <v>31.41</v>
      </c>
      <c r="F313" s="2">
        <f>'End of Life'!G756</f>
        <v>0.05</v>
      </c>
      <c r="G313" s="2">
        <f>'End of Life'!H756</f>
        <v>0.03</v>
      </c>
    </row>
    <row r="314" ht="14.25" customHeight="1">
      <c r="A314" s="45" t="s">
        <v>173</v>
      </c>
      <c r="B314" s="46"/>
      <c r="C314" s="46">
        <f t="shared" ref="C314:G314" si="61">SUM(C309:C313)</f>
        <v>521.5984456</v>
      </c>
      <c r="D314" s="46">
        <f t="shared" si="61"/>
        <v>8.102056133</v>
      </c>
      <c r="E314" s="46">
        <f t="shared" si="61"/>
        <v>11593.60364</v>
      </c>
      <c r="F314" s="46">
        <f t="shared" si="61"/>
        <v>29.32864796</v>
      </c>
      <c r="G314" s="46">
        <f t="shared" si="61"/>
        <v>2.327253632</v>
      </c>
    </row>
    <row r="315" ht="14.25" customHeight="1">
      <c r="A315" s="43" t="s">
        <v>196</v>
      </c>
      <c r="B315" s="2" t="s">
        <v>146</v>
      </c>
      <c r="C315" s="2">
        <f>2530+109.62+109.62+110.95+6.93*2+Production!D1365</f>
        <v>2923.789761</v>
      </c>
      <c r="D315" s="2">
        <f>2.95+0.16*2+0.38+0.02*2+Production!E1365</f>
        <v>4.277596603</v>
      </c>
      <c r="E315" s="2">
        <f>61320+3070*2+2250+140.8*2+Production!F1365</f>
        <v>70550.65117</v>
      </c>
      <c r="F315" s="2">
        <f>16.08+0.97*2+1.46+0.09*2+Production!G1365</f>
        <v>19.96358545</v>
      </c>
      <c r="G315" s="2">
        <f>0.29+0.02*2+Production!H1365</f>
        <v>0.3312161211</v>
      </c>
    </row>
    <row r="316" ht="14.25" customHeight="1">
      <c r="B316" s="2" t="s">
        <v>171</v>
      </c>
      <c r="C316" s="2">
        <f>Production!D1346+Production!D1347+Production!D1349+Production!D1366+Production!D1367+Production!D1369</f>
        <v>46.6039662</v>
      </c>
      <c r="D316" s="2">
        <f>Production!E1346+Production!E1347+Production!E1349+Production!E1366+Production!E1367+Production!E1369</f>
        <v>0.5903968071</v>
      </c>
      <c r="E316" s="2">
        <f>Production!F1346+Production!F1347+Production!F1349+Production!F1366+Production!F1367+Production!F1369</f>
        <v>6790.389925</v>
      </c>
      <c r="F316" s="2">
        <f>Production!G1346+Production!G1347+Production!G1349+Production!G1366+Production!G1367+Production!G1369</f>
        <v>1.852765785</v>
      </c>
      <c r="G316" s="2">
        <f>Production!H1346+Production!H1347+Production!H1349+Production!H1366+Production!H1367+Production!H1369</f>
        <v>0.006691441779</v>
      </c>
    </row>
    <row r="317" ht="14.25" customHeight="1">
      <c r="B317" s="2" t="s">
        <v>16</v>
      </c>
      <c r="C317" s="2">
        <f>Production!D1344+Production!D1345+Production!D1348+Production!D1368</f>
        <v>68.34997718</v>
      </c>
      <c r="D317" s="2">
        <f>Production!E1344+Production!E1345+Production!E1348+Production!E1368</f>
        <v>0.8829307522</v>
      </c>
      <c r="E317" s="2">
        <f>Production!F1344+Production!F1345+Production!F1348+Production!F1368</f>
        <v>1776.520515</v>
      </c>
      <c r="F317" s="2">
        <f>Production!G1344+Production!G1345+Production!G1348+Production!G1368</f>
        <v>8.756378887</v>
      </c>
      <c r="G317" s="2">
        <f>Production!H1344+Production!H1345+Production!H1348+Production!H1368</f>
        <v>0.7798187107</v>
      </c>
    </row>
    <row r="318" ht="14.25" customHeight="1">
      <c r="B318" s="2" t="s">
        <v>18</v>
      </c>
      <c r="C318" s="2">
        <f>2.05+0.13+0.13+1.15+0.07*2+0.01+0.63+0.12</f>
        <v>4.36</v>
      </c>
      <c r="D318" s="2">
        <f>0.01</f>
        <v>0.01</v>
      </c>
      <c r="E318" s="2">
        <f>34.18+2.14*2+19.23+1.2*2+0.03+0.13+10.51+2</f>
        <v>72.76</v>
      </c>
      <c r="F318" s="2">
        <f>0</f>
        <v>0</v>
      </c>
      <c r="G318" s="2">
        <v>0.0</v>
      </c>
    </row>
    <row r="319" ht="14.25" customHeight="1">
      <c r="B319" s="2" t="s">
        <v>172</v>
      </c>
      <c r="C319" s="2">
        <f>'End of Life'!D770</f>
        <v>10.78</v>
      </c>
      <c r="D319" s="2">
        <f>'End of Life'!E770</f>
        <v>0</v>
      </c>
      <c r="E319" s="2">
        <f>'End of Life'!F770</f>
        <v>7.04</v>
      </c>
      <c r="F319" s="2">
        <f>'End of Life'!G770</f>
        <v>0.02</v>
      </c>
      <c r="G319" s="2">
        <f>'End of Life'!H770</f>
        <v>0</v>
      </c>
    </row>
    <row r="320" ht="14.25" customHeight="1">
      <c r="A320" s="45" t="s">
        <v>173</v>
      </c>
      <c r="B320" s="46"/>
      <c r="C320" s="46">
        <f t="shared" ref="C320:G320" si="62">SUM(C315:C319)</f>
        <v>3053.883704</v>
      </c>
      <c r="D320" s="46">
        <f t="shared" si="62"/>
        <v>5.760924162</v>
      </c>
      <c r="E320" s="46">
        <f t="shared" si="62"/>
        <v>79197.36161</v>
      </c>
      <c r="F320" s="46">
        <f t="shared" si="62"/>
        <v>30.59273013</v>
      </c>
      <c r="G320" s="46">
        <f t="shared" si="62"/>
        <v>1.117726274</v>
      </c>
      <c r="I320" s="2"/>
      <c r="J320" s="2"/>
      <c r="K320" s="2"/>
      <c r="L320" s="2"/>
      <c r="M320" s="2"/>
    </row>
    <row r="321" ht="14.25" customHeight="1">
      <c r="A321" s="43" t="s">
        <v>141</v>
      </c>
      <c r="B321" s="2" t="s">
        <v>146</v>
      </c>
      <c r="C321" s="2">
        <f>233.5+211.27+86.48</f>
        <v>531.25</v>
      </c>
      <c r="D321" s="2">
        <f>0.19+0.58+7.32</f>
        <v>8.09</v>
      </c>
      <c r="E321" s="2">
        <f>6570+4880+1750</f>
        <v>13200</v>
      </c>
      <c r="F321" s="2">
        <f>2.88+2.71+2.25</f>
        <v>7.84</v>
      </c>
      <c r="G321" s="2">
        <v>0.01</v>
      </c>
      <c r="I321" s="2"/>
      <c r="J321" s="2"/>
      <c r="K321" s="2"/>
      <c r="L321" s="2"/>
      <c r="M321" s="2"/>
    </row>
    <row r="322" ht="14.25" customHeight="1">
      <c r="B322" s="2" t="s">
        <v>18</v>
      </c>
      <c r="C322" s="2">
        <f>0.3+0.24</f>
        <v>0.54</v>
      </c>
      <c r="D322" s="2">
        <f>0</f>
        <v>0</v>
      </c>
      <c r="E322" s="2">
        <f>5.01+4.01</f>
        <v>9.02</v>
      </c>
      <c r="F322" s="2">
        <f>0</f>
        <v>0</v>
      </c>
      <c r="G322" s="2">
        <v>0.0</v>
      </c>
      <c r="I322" s="2"/>
      <c r="J322" s="2"/>
      <c r="K322" s="2"/>
      <c r="L322" s="2"/>
      <c r="M322" s="2"/>
    </row>
    <row r="323" ht="14.25" customHeight="1">
      <c r="B323" s="2" t="s">
        <v>172</v>
      </c>
      <c r="C323" s="2">
        <v>0.0</v>
      </c>
      <c r="D323" s="2">
        <v>0.0</v>
      </c>
      <c r="E323" s="2">
        <v>0.0</v>
      </c>
      <c r="F323" s="2">
        <v>0.0</v>
      </c>
      <c r="G323" s="2">
        <v>0.0</v>
      </c>
      <c r="I323" s="2"/>
      <c r="J323" s="2"/>
      <c r="K323" s="2"/>
      <c r="L323" s="2"/>
      <c r="M323" s="2"/>
    </row>
    <row r="324" ht="14.25" customHeight="1">
      <c r="A324" s="45" t="s">
        <v>173</v>
      </c>
      <c r="B324" s="46"/>
      <c r="C324" s="46">
        <f t="shared" ref="C324:G324" si="63">SUM(C321:C323)</f>
        <v>531.79</v>
      </c>
      <c r="D324" s="46">
        <f t="shared" si="63"/>
        <v>8.09</v>
      </c>
      <c r="E324" s="46">
        <f t="shared" si="63"/>
        <v>13209.02</v>
      </c>
      <c r="F324" s="46">
        <f t="shared" si="63"/>
        <v>7.84</v>
      </c>
      <c r="G324" s="46">
        <f t="shared" si="63"/>
        <v>0.01</v>
      </c>
    </row>
    <row r="325" ht="14.25" customHeight="1">
      <c r="A325" s="43" t="s">
        <v>144</v>
      </c>
      <c r="B325" s="2" t="s">
        <v>146</v>
      </c>
      <c r="C325" s="2">
        <f>415.44+116.45</f>
        <v>531.89</v>
      </c>
      <c r="D325" s="2">
        <f>0.77+1.13</f>
        <v>1.9</v>
      </c>
      <c r="E325" s="2">
        <f>12410+1520</f>
        <v>13930</v>
      </c>
      <c r="F325" s="2">
        <f>4.34+0.72</f>
        <v>5.06</v>
      </c>
      <c r="G325" s="2">
        <v>0.01</v>
      </c>
    </row>
    <row r="326" ht="14.25" customHeight="1">
      <c r="B326" s="2" t="s">
        <v>171</v>
      </c>
      <c r="C326" s="2">
        <f>Production!D1386</f>
        <v>20.75874088</v>
      </c>
      <c r="D326" s="2">
        <f>Production!E1386</f>
        <v>0.04735905306</v>
      </c>
      <c r="E326" s="2">
        <f>Production!F1386</f>
        <v>644.3232353</v>
      </c>
      <c r="F326" s="2">
        <f>Production!G1386</f>
        <v>0.1062944944</v>
      </c>
      <c r="G326" s="2">
        <f>Production!H1386</f>
        <v>0.0005330365106</v>
      </c>
    </row>
    <row r="327" ht="14.25" customHeight="1">
      <c r="B327" s="2" t="s">
        <v>16</v>
      </c>
      <c r="C327" s="2">
        <f>Production!D1385</f>
        <v>72.1036055</v>
      </c>
      <c r="D327" s="2">
        <f>Production!E1385</f>
        <v>0.9475927322</v>
      </c>
      <c r="E327" s="2">
        <f>Production!F1385</f>
        <v>1881.90215</v>
      </c>
      <c r="F327" s="2">
        <f>Production!G1385</f>
        <v>9.407817345</v>
      </c>
      <c r="G327" s="2">
        <f>Production!H1385</f>
        <v>0.8408676295</v>
      </c>
    </row>
    <row r="328" ht="14.25" customHeight="1">
      <c r="B328" s="2" t="s">
        <v>18</v>
      </c>
      <c r="C328" s="2">
        <f>6.47+0.15+0.69</f>
        <v>7.31</v>
      </c>
      <c r="D328" s="2">
        <f>0.02</f>
        <v>0.02</v>
      </c>
      <c r="E328" s="2">
        <f>107.73+2.52+11.57</f>
        <v>121.82</v>
      </c>
      <c r="F328" s="2">
        <f>0.01</f>
        <v>0.01</v>
      </c>
      <c r="G328" s="2">
        <v>0.0</v>
      </c>
    </row>
    <row r="329" ht="14.25" customHeight="1">
      <c r="B329" s="2" t="s">
        <v>172</v>
      </c>
      <c r="C329" s="2">
        <f>'End of Life'!D788</f>
        <v>10.48</v>
      </c>
      <c r="D329" s="2">
        <f>'End of Life'!E788</f>
        <v>0</v>
      </c>
      <c r="E329" s="2">
        <f>'End of Life'!F788</f>
        <v>4.88</v>
      </c>
      <c r="F329" s="2">
        <f>'End of Life'!G788</f>
        <v>0</v>
      </c>
      <c r="G329" s="2">
        <f>'End of Life'!H788</f>
        <v>0.01</v>
      </c>
    </row>
    <row r="330" ht="14.25" customHeight="1">
      <c r="A330" s="45" t="s">
        <v>173</v>
      </c>
      <c r="B330" s="46"/>
      <c r="C330" s="46">
        <f t="shared" ref="C330:G330" si="64">SUM(C325:C329)</f>
        <v>642.5423464</v>
      </c>
      <c r="D330" s="46">
        <f t="shared" si="64"/>
        <v>2.914951785</v>
      </c>
      <c r="E330" s="46">
        <f t="shared" si="64"/>
        <v>16582.92539</v>
      </c>
      <c r="F330" s="46">
        <f t="shared" si="64"/>
        <v>14.58411184</v>
      </c>
      <c r="G330" s="46">
        <f t="shared" si="64"/>
        <v>0.8614006661</v>
      </c>
    </row>
    <row r="331" ht="14.25" customHeight="1">
      <c r="A331" s="43" t="s">
        <v>149</v>
      </c>
      <c r="B331" s="2" t="s">
        <v>146</v>
      </c>
      <c r="C331" s="2">
        <f>276.02+29.28+353.77+18.89+70.75+3.78+88.35+116.45</f>
        <v>957.29</v>
      </c>
      <c r="D331" s="2">
        <f>0.15+0.06+0.19+0.05+0.04+0.01+0.05+1.13</f>
        <v>1.68</v>
      </c>
      <c r="E331" s="2">
        <f>4080+827.56+5230+389.1+1050+77.82+1310+1520</f>
        <v>14484.48</v>
      </c>
      <c r="F331" s="2">
        <f>2.45+0.38+3.14+0.26+0.63+0.05+0.78+0.72</f>
        <v>8.41</v>
      </c>
      <c r="G331" s="2">
        <v>0.02</v>
      </c>
    </row>
    <row r="332" ht="14.25" customHeight="1">
      <c r="B332" s="2" t="s">
        <v>171</v>
      </c>
      <c r="C332" s="2">
        <f>Production!D1403</f>
        <v>20.75874088</v>
      </c>
      <c r="D332" s="2">
        <f>Production!E1403</f>
        <v>0.04735905306</v>
      </c>
      <c r="E332" s="2">
        <f>Production!F1403</f>
        <v>644.3232353</v>
      </c>
      <c r="F332" s="2">
        <f>Production!G1403</f>
        <v>0.1062944944</v>
      </c>
      <c r="G332" s="2">
        <f>Production!H1403</f>
        <v>0.0005330365106</v>
      </c>
    </row>
    <row r="333" ht="14.25" customHeight="1">
      <c r="B333" s="2" t="s">
        <v>16</v>
      </c>
      <c r="C333" s="2">
        <f>Production!D1402</f>
        <v>72.10934844</v>
      </c>
      <c r="D333" s="2">
        <f>Production!E1402</f>
        <v>0.9476066792</v>
      </c>
      <c r="E333" s="2">
        <f>Production!F1402</f>
        <v>1881.980254</v>
      </c>
      <c r="F333" s="2">
        <f>Production!G1402</f>
        <v>9.419987967</v>
      </c>
      <c r="G333" s="2">
        <f>Production!H1402</f>
        <v>0.8408676531</v>
      </c>
    </row>
    <row r="334" ht="14.25" customHeight="1">
      <c r="B334" s="2" t="s">
        <v>18</v>
      </c>
      <c r="C334" s="2">
        <f>1.16+0.3+1.46+0.37+0.3+0.08+0.37+0.15+0.7</f>
        <v>4.89</v>
      </c>
      <c r="D334" s="2">
        <f>0</f>
        <v>0</v>
      </c>
      <c r="E334" s="2">
        <f>19.33+5.07+24.36+6.14+4.95+1.38+6.13+2.48+11.64</f>
        <v>81.48</v>
      </c>
      <c r="F334" s="2">
        <v>0.0</v>
      </c>
      <c r="G334" s="2">
        <v>0.0</v>
      </c>
    </row>
    <row r="335" ht="14.25" customHeight="1">
      <c r="B335" s="2" t="s">
        <v>172</v>
      </c>
      <c r="C335" s="2">
        <f>'End of Life'!D801</f>
        <v>73.15</v>
      </c>
      <c r="D335" s="2">
        <f>'End of Life'!E801</f>
        <v>0.03</v>
      </c>
      <c r="E335" s="2">
        <f>'End of Life'!F801</f>
        <v>55.38</v>
      </c>
      <c r="F335" s="2">
        <f>'End of Life'!G801</f>
        <v>0.13</v>
      </c>
      <c r="G335" s="2">
        <f>'End of Life'!H801</f>
        <v>0</v>
      </c>
    </row>
    <row r="336" ht="14.25" customHeight="1">
      <c r="A336" s="45" t="s">
        <v>173</v>
      </c>
      <c r="B336" s="46"/>
      <c r="C336" s="46">
        <f t="shared" ref="C336:G336" si="65">SUM(C331:C335)</f>
        <v>1128.198089</v>
      </c>
      <c r="D336" s="46">
        <f t="shared" si="65"/>
        <v>2.704965732</v>
      </c>
      <c r="E336" s="46">
        <f t="shared" si="65"/>
        <v>17147.64349</v>
      </c>
      <c r="F336" s="46">
        <f t="shared" si="65"/>
        <v>18.06628246</v>
      </c>
      <c r="G336" s="46">
        <f t="shared" si="65"/>
        <v>0.8614006896</v>
      </c>
    </row>
    <row r="337" ht="14.25" customHeight="1">
      <c r="A337" s="43" t="s">
        <v>150</v>
      </c>
      <c r="B337" s="2" t="s">
        <v>146</v>
      </c>
      <c r="C337" s="2">
        <f>3150+115.58+27.01+34.22+10.81</f>
        <v>3337.62</v>
      </c>
      <c r="D337" s="2">
        <f>4+0.4+0.11+0.01+0.04</f>
        <v>4.56</v>
      </c>
      <c r="E337" s="2">
        <f>81110+2350+523.78+565.84+226.17</f>
        <v>84775.79</v>
      </c>
      <c r="F337" s="2">
        <f>23.2+1.52+0.33+0.13*2</f>
        <v>25.31</v>
      </c>
      <c r="G337" s="2">
        <v>0.43</v>
      </c>
    </row>
    <row r="338" ht="14.25" customHeight="1">
      <c r="B338" s="2" t="s">
        <v>171</v>
      </c>
      <c r="C338" s="2">
        <f>Production!D1425+Production!D1426+Production!D1427+Production!D1428+Production!D1429+Production!D1430+Production!D1431+Production!D1432+Production!D1433+Production!D1435</f>
        <v>142.2937814</v>
      </c>
      <c r="D338" s="2">
        <f>Production!E1425+Production!E1426+Production!E1427+Production!E1428+Production!E1429+Production!E1430+Production!E1431+Production!E1432+Production!E1433+Production!E1435</f>
        <v>1.815444082</v>
      </c>
      <c r="E338" s="2">
        <f>Production!F1425+Production!F1426+Production!F1427+Production!F1428+Production!F1429+Production!F1430+Production!F1431+Production!F1432+Production!F1433+Production!F1435</f>
        <v>20888.6589</v>
      </c>
      <c r="F338" s="2">
        <f>Production!G1425+Production!G1426+Production!G1427+Production!G1428+Production!G1429+Production!G1430+Production!G1431+Production!G1432+Production!G1433+Production!G1435</f>
        <v>5.682588498</v>
      </c>
      <c r="G338" s="2">
        <f>Production!H1425+Production!H1426+Production!H1427+Production!H1428+Production!H1429+Production!H1430+Production!H1431+Production!H1432+Production!H1433+Production!H1435</f>
        <v>0.02051158657</v>
      </c>
    </row>
    <row r="339" ht="14.25" customHeight="1">
      <c r="B339" s="2" t="s">
        <v>16</v>
      </c>
      <c r="C339" s="2">
        <f>Production!D1422+Production!D1423+Production!D1424+Production!D1434</f>
        <v>347.8303923</v>
      </c>
      <c r="D339" s="2">
        <f>Production!E1422+Production!E1423+Production!E1424+Production!E1434</f>
        <v>3.316037013</v>
      </c>
      <c r="E339" s="2">
        <f>Production!F1422+Production!F1423+Production!F1424+Production!F1434</f>
        <v>8792.30656</v>
      </c>
      <c r="F339" s="2">
        <f>Production!G1422+Production!G1423+Production!G1424+Production!G1434</f>
        <v>32.03167169</v>
      </c>
      <c r="G339" s="2">
        <f>Production!H1422+Production!H1423+Production!H1424+Production!H1434</f>
        <v>2.683854899</v>
      </c>
    </row>
    <row r="340" ht="14.25" customHeight="1">
      <c r="B340" s="2" t="s">
        <v>18</v>
      </c>
      <c r="C340" s="2">
        <f>2.82+1.18+0.45+0.27+0.23+0.27+0.1+0.01</f>
        <v>5.33</v>
      </c>
      <c r="D340" s="2">
        <f>0.01</f>
        <v>0.01</v>
      </c>
      <c r="E340" s="2">
        <f>0.15+1.67+4.52+3.79+4.55+7.59+19.72+47.03</f>
        <v>89.02</v>
      </c>
      <c r="F340" s="2">
        <f>0.01</f>
        <v>0.01</v>
      </c>
      <c r="G340" s="2">
        <v>0.0</v>
      </c>
    </row>
    <row r="341" ht="14.25" customHeight="1">
      <c r="B341" s="2" t="s">
        <v>172</v>
      </c>
      <c r="C341" s="2">
        <f>'End of Life'!D823</f>
        <v>135.48</v>
      </c>
      <c r="D341" s="2">
        <f>'End of Life'!E823</f>
        <v>0.02</v>
      </c>
      <c r="E341" s="2">
        <f>'End of Life'!F823</f>
        <v>67.58</v>
      </c>
      <c r="F341" s="2">
        <f>'End of Life'!G823</f>
        <v>0.14</v>
      </c>
      <c r="G341" s="2">
        <f>'End of Life'!H823</f>
        <v>0.06</v>
      </c>
    </row>
    <row r="342" ht="14.25" customHeight="1">
      <c r="A342" s="45" t="s">
        <v>173</v>
      </c>
      <c r="B342" s="46"/>
      <c r="C342" s="46">
        <f t="shared" ref="C342:G342" si="66">SUM(C337:C341)</f>
        <v>3968.554174</v>
      </c>
      <c r="D342" s="46">
        <f t="shared" si="66"/>
        <v>9.721481094</v>
      </c>
      <c r="E342" s="46">
        <f t="shared" si="66"/>
        <v>114613.3555</v>
      </c>
      <c r="F342" s="46">
        <f t="shared" si="66"/>
        <v>63.17426018</v>
      </c>
      <c r="G342" s="46">
        <f t="shared" si="66"/>
        <v>3.194366486</v>
      </c>
      <c r="I342" s="2"/>
      <c r="J342" s="2"/>
      <c r="K342" s="2"/>
      <c r="L342" s="2"/>
      <c r="M342" s="2"/>
    </row>
    <row r="343" ht="14.25" customHeight="1">
      <c r="A343" s="43" t="s">
        <v>151</v>
      </c>
      <c r="B343" s="2" t="s">
        <v>146</v>
      </c>
      <c r="C343" s="2">
        <f>1630+556.64+81.87+28.89+12.04+6.75+16.13</f>
        <v>2332.32</v>
      </c>
      <c r="D343" s="2">
        <f>2.07+0.79+0.28+0.1+0.04+0.03+0.01</f>
        <v>3.32</v>
      </c>
      <c r="E343" s="2">
        <f>41910+15570+1660+586.68+244.45+130.95+323.71</f>
        <v>60425.79</v>
      </c>
      <c r="F343" s="2">
        <f>11.98+4.94+1.08+0.38+0.16+0.08+0.18</f>
        <v>18.8</v>
      </c>
      <c r="G343" s="2">
        <f>0.22+0.09</f>
        <v>0.31</v>
      </c>
    </row>
    <row r="344" ht="14.25" customHeight="1">
      <c r="B344" s="2" t="s">
        <v>171</v>
      </c>
      <c r="C344" s="2">
        <f>2645.55-2623.36</f>
        <v>22.19</v>
      </c>
      <c r="D344" s="2">
        <f>3.8-3.51</f>
        <v>0.29</v>
      </c>
      <c r="E344" s="2">
        <f>64532.03-61263.82</f>
        <v>3268.21</v>
      </c>
      <c r="F344" s="2">
        <f>21.75-20.86</f>
        <v>0.89</v>
      </c>
      <c r="G344" s="2">
        <f>0.33-0.33</f>
        <v>0</v>
      </c>
    </row>
    <row r="345" ht="14.25" customHeight="1">
      <c r="B345" s="2" t="s">
        <v>16</v>
      </c>
      <c r="C345" s="2">
        <f>Production!D1465+Production!D1466+Production!D1467</f>
        <v>155.2206079</v>
      </c>
      <c r="D345" s="2">
        <f>Production!E1465+Production!E1466+Production!E1467</f>
        <v>0.4365455577</v>
      </c>
      <c r="E345" s="2">
        <f>Production!F1465+Production!F1466+Production!F1467</f>
        <v>3899.30735</v>
      </c>
      <c r="F345" s="2">
        <f>Production!G1465+Production!G1466+Production!G1467</f>
        <v>2.709966389</v>
      </c>
      <c r="G345" s="2">
        <f>Production!H1465+Production!H1466+Production!H1467</f>
        <v>0.01169354786</v>
      </c>
    </row>
    <row r="346" ht="14.25" customHeight="1">
      <c r="B346" s="2" t="s">
        <v>18</v>
      </c>
      <c r="C346" s="2">
        <f>4.65+1.95+2.55+0.72+0.3+0.22+0.03</f>
        <v>10.42</v>
      </c>
      <c r="D346" s="2">
        <f>0.01*3</f>
        <v>0.03</v>
      </c>
      <c r="E346" s="2">
        <f>77.6+32.54+42.56+12.02+5.01+3.74+0.57</f>
        <v>174.04</v>
      </c>
      <c r="F346" s="2">
        <f>0.01</f>
        <v>0.01</v>
      </c>
      <c r="G346" s="2">
        <v>0.0</v>
      </c>
    </row>
    <row r="347" ht="14.25" customHeight="1">
      <c r="B347" s="2" t="s">
        <v>172</v>
      </c>
      <c r="C347" s="2">
        <f>'End of Life'!D837</f>
        <v>149.69</v>
      </c>
      <c r="D347" s="2">
        <f>'End of Life'!E837</f>
        <v>0.01</v>
      </c>
      <c r="E347" s="2">
        <f>'End of Life'!F837</f>
        <v>30.37</v>
      </c>
      <c r="F347" s="2">
        <f>'End of Life'!G837</f>
        <v>0.21</v>
      </c>
      <c r="G347" s="2">
        <f>'End of Life'!H837</f>
        <v>0</v>
      </c>
    </row>
    <row r="348" ht="14.25" customHeight="1">
      <c r="A348" s="45" t="s">
        <v>173</v>
      </c>
      <c r="B348" s="46"/>
      <c r="C348" s="46">
        <f t="shared" ref="C348:G348" si="67">SUM(C343:C347)</f>
        <v>2669.840608</v>
      </c>
      <c r="D348" s="46">
        <f t="shared" si="67"/>
        <v>4.086545558</v>
      </c>
      <c r="E348" s="46">
        <f t="shared" si="67"/>
        <v>67797.71735</v>
      </c>
      <c r="F348" s="46">
        <f t="shared" si="67"/>
        <v>22.61996639</v>
      </c>
      <c r="G348" s="46">
        <f t="shared" si="67"/>
        <v>0.3216935479</v>
      </c>
    </row>
    <row r="349" ht="14.25" customHeight="1">
      <c r="A349" s="43" t="s">
        <v>197</v>
      </c>
      <c r="B349" s="2" t="s">
        <v>146</v>
      </c>
      <c r="C349" s="2">
        <f>1070+86.68+0.2</f>
        <v>1156.88</v>
      </c>
      <c r="D349" s="2">
        <f>1.52+0.3</f>
        <v>1.82</v>
      </c>
      <c r="E349" s="2">
        <f>29950+1760+94.91</f>
        <v>31804.91</v>
      </c>
      <c r="F349" s="2">
        <f>9.5+1.14</f>
        <v>10.64</v>
      </c>
      <c r="G349" s="2">
        <f>0.18</f>
        <v>0.18</v>
      </c>
    </row>
    <row r="350" ht="14.25" customHeight="1">
      <c r="B350" s="2" t="s">
        <v>171</v>
      </c>
      <c r="C350" s="2">
        <f>Production!D1489+Production!D1490+Production!D1491+Production!D1493</f>
        <v>93.78714646</v>
      </c>
      <c r="D350" s="2">
        <f>Production!E1489+Production!E1490+Production!E1491+Production!E1493</f>
        <v>1.200753842</v>
      </c>
      <c r="E350" s="2">
        <f>Production!F1489+Production!F1490+Production!F1491+Production!F1493</f>
        <v>13795.56109</v>
      </c>
      <c r="F350" s="2">
        <f>Production!G1489+Production!G1490+Production!G1491+Production!G1493</f>
        <v>3.753001703</v>
      </c>
      <c r="G350" s="2">
        <f>Production!H1489+Production!H1490+Production!H1491+Production!H1493</f>
        <v>0.01356808557</v>
      </c>
    </row>
    <row r="351" ht="14.25" customHeight="1">
      <c r="B351" s="2" t="s">
        <v>16</v>
      </c>
      <c r="C351" s="2">
        <f>Production!D1488+Production!D1492</f>
        <v>125.9879566</v>
      </c>
      <c r="D351" s="2">
        <f>Production!E1488+Production!E1492</f>
        <v>0.9902741369</v>
      </c>
      <c r="E351" s="2">
        <f>Production!F1488+Production!F1492</f>
        <v>3190.385111</v>
      </c>
      <c r="F351" s="2">
        <f>Production!G1488+Production!G1492</f>
        <v>9.385064795</v>
      </c>
      <c r="G351" s="2">
        <f>Production!H1488+Production!H1492</f>
        <v>0.7681274469</v>
      </c>
    </row>
    <row r="352" ht="14.25" customHeight="1">
      <c r="B352" s="2" t="s">
        <v>18</v>
      </c>
      <c r="C352" s="2">
        <f>1.84+1.42+0.25+0.44+0.88</f>
        <v>4.83</v>
      </c>
      <c r="D352" s="2">
        <v>0.0</v>
      </c>
      <c r="E352" s="2">
        <f>30.77+23.67+4.17+7.4+14.72</f>
        <v>80.73</v>
      </c>
      <c r="F352" s="2">
        <f>0</f>
        <v>0</v>
      </c>
      <c r="G352" s="2">
        <v>0.0</v>
      </c>
    </row>
    <row r="353" ht="14.25" customHeight="1">
      <c r="B353" s="2" t="s">
        <v>172</v>
      </c>
      <c r="C353" s="2">
        <f>'End of Life'!D852</f>
        <v>19.94</v>
      </c>
      <c r="D353" s="2">
        <f>'End of Life'!E852</f>
        <v>0</v>
      </c>
      <c r="E353" s="2">
        <f>'End of Life'!F852</f>
        <v>10.11</v>
      </c>
      <c r="F353" s="2">
        <f>'End of Life'!G852</f>
        <v>0</v>
      </c>
      <c r="G353" s="2">
        <f>'End of Life'!H852</f>
        <v>0.02</v>
      </c>
    </row>
    <row r="354" ht="14.25" customHeight="1">
      <c r="A354" s="45" t="s">
        <v>173</v>
      </c>
      <c r="B354" s="46"/>
      <c r="C354" s="46">
        <f t="shared" ref="C354:G354" si="68">SUM(C349:C353)</f>
        <v>1401.425103</v>
      </c>
      <c r="D354" s="46">
        <f t="shared" si="68"/>
        <v>4.011027979</v>
      </c>
      <c r="E354" s="46">
        <f t="shared" si="68"/>
        <v>48881.6962</v>
      </c>
      <c r="F354" s="46">
        <f t="shared" si="68"/>
        <v>23.7780665</v>
      </c>
      <c r="G354" s="46">
        <f t="shared" si="68"/>
        <v>0.9816955324</v>
      </c>
    </row>
    <row r="355" ht="14.25" customHeight="1">
      <c r="A355" s="43" t="s">
        <v>154</v>
      </c>
      <c r="B355" s="2" t="s">
        <v>146</v>
      </c>
      <c r="C355" s="2">
        <f>205.08+82.06+242.22</f>
        <v>529.36</v>
      </c>
      <c r="D355" s="2">
        <f>9.82+0.41+2.35</f>
        <v>12.58</v>
      </c>
      <c r="E355" s="2">
        <f>3010+2070+3170</f>
        <v>8250</v>
      </c>
      <c r="F355" s="2">
        <f>2.21+1.05+1.51</f>
        <v>4.77</v>
      </c>
      <c r="G355" s="2">
        <v>0.02</v>
      </c>
    </row>
    <row r="356" ht="14.25" customHeight="1">
      <c r="B356" s="2" t="s">
        <v>171</v>
      </c>
      <c r="C356" s="2">
        <f>Production!D1511</f>
        <v>0.2776875302</v>
      </c>
      <c r="D356" s="2">
        <f>Production!E1511</f>
        <v>0.0007889846496</v>
      </c>
      <c r="E356" s="2">
        <f>Production!F1511</f>
        <v>7.973757906</v>
      </c>
      <c r="F356" s="2">
        <f>Production!G1511</f>
        <v>0.006175518088</v>
      </c>
      <c r="G356" s="2">
        <f>Production!H1511</f>
        <v>0.00001950288074</v>
      </c>
    </row>
    <row r="357" ht="14.25" customHeight="1">
      <c r="B357" s="2" t="s">
        <v>16</v>
      </c>
      <c r="C357" s="2">
        <f>Production!D1510</f>
        <v>0.9794486069</v>
      </c>
      <c r="D357" s="2">
        <f>Production!E1510</f>
        <v>0.01291164175</v>
      </c>
      <c r="E357" s="2">
        <f>Production!F1510</f>
        <v>25.59921727</v>
      </c>
      <c r="F357" s="2">
        <f>Production!G1510</f>
        <v>0.1282812432</v>
      </c>
      <c r="G357" s="2">
        <f>Production!H1510</f>
        <v>0.01146635241</v>
      </c>
    </row>
    <row r="358" ht="14.25" customHeight="1">
      <c r="B358" s="2" t="s">
        <v>18</v>
      </c>
      <c r="C358" s="2">
        <f>71.91+0.61+36.12+0.01</f>
        <v>108.65</v>
      </c>
      <c r="D358" s="2">
        <f>0.03+0.01</f>
        <v>0.04</v>
      </c>
      <c r="E358" s="2">
        <f>1080+10.15+541.5+0.09</f>
        <v>1631.74</v>
      </c>
      <c r="F358" s="2">
        <f>0.03+0.02</f>
        <v>0.05</v>
      </c>
      <c r="G358" s="2">
        <f>0</f>
        <v>0</v>
      </c>
    </row>
    <row r="359" ht="14.25" customHeight="1">
      <c r="B359" s="2" t="s">
        <v>172</v>
      </c>
      <c r="C359" s="2">
        <f>'End of Life'!D858</f>
        <v>29.62</v>
      </c>
      <c r="D359" s="2">
        <f>'End of Life'!E858</f>
        <v>0</v>
      </c>
      <c r="E359" s="2">
        <f>'End of Life'!F858</f>
        <v>13.8</v>
      </c>
      <c r="F359" s="2">
        <f>'End of Life'!G858</f>
        <v>0.01</v>
      </c>
      <c r="G359" s="2">
        <f>'End of Life'!H858</f>
        <v>0.04</v>
      </c>
    </row>
    <row r="360" ht="14.25" customHeight="1">
      <c r="A360" s="45" t="s">
        <v>173</v>
      </c>
      <c r="B360" s="46"/>
      <c r="C360" s="46">
        <f t="shared" ref="C360:G360" si="69">SUM(C355:C359)</f>
        <v>668.8871361</v>
      </c>
      <c r="D360" s="46">
        <f t="shared" si="69"/>
        <v>12.63370063</v>
      </c>
      <c r="E360" s="46">
        <f t="shared" si="69"/>
        <v>9929.112975</v>
      </c>
      <c r="F360" s="46">
        <f t="shared" si="69"/>
        <v>4.964456761</v>
      </c>
      <c r="G360" s="46">
        <f t="shared" si="69"/>
        <v>0.07148585529</v>
      </c>
    </row>
    <row r="361" ht="14.25" customHeight="1">
      <c r="A361" s="43" t="s">
        <v>198</v>
      </c>
      <c r="B361" s="2" t="s">
        <v>146</v>
      </c>
      <c r="C361" s="2">
        <f>1290+52.61+8.38</f>
        <v>1350.99</v>
      </c>
      <c r="D361" s="2">
        <f>20.93+3.13+0.08</f>
        <v>24.14</v>
      </c>
      <c r="E361" s="2">
        <f>26000+1080+109.6</f>
        <v>27189.6</v>
      </c>
      <c r="F361" s="2">
        <f>14.06+0.64+0.05</f>
        <v>14.75</v>
      </c>
      <c r="G361" s="2">
        <f>0.17</f>
        <v>0.17</v>
      </c>
    </row>
    <row r="362" ht="14.25" customHeight="1">
      <c r="B362" s="2" t="s">
        <v>171</v>
      </c>
      <c r="C362" s="2">
        <f>Production!D1524</f>
        <v>2.540752691</v>
      </c>
      <c r="D362" s="2">
        <f>Production!E1524</f>
        <v>0.03085752813</v>
      </c>
      <c r="E362" s="2">
        <f>Production!F1524</f>
        <v>362.6659272</v>
      </c>
      <c r="F362" s="2">
        <f>Production!G1524</f>
        <v>0.09864822798</v>
      </c>
      <c r="G362" s="2">
        <f>Production!H1524</f>
        <v>0.0003480784153</v>
      </c>
    </row>
    <row r="363" ht="14.25" customHeight="1">
      <c r="B363" s="2" t="s">
        <v>16</v>
      </c>
      <c r="C363" s="2">
        <f>Production!D1523</f>
        <v>36.05180275</v>
      </c>
      <c r="D363" s="2">
        <f>Production!E1523</f>
        <v>0.4737963661</v>
      </c>
      <c r="E363" s="2">
        <f>Production!F1523</f>
        <v>940.9510752</v>
      </c>
      <c r="F363" s="2">
        <f>Production!G1523</f>
        <v>4.703908673</v>
      </c>
      <c r="G363" s="2">
        <f>Production!H1523</f>
        <v>0.4204338148</v>
      </c>
    </row>
    <row r="364" ht="14.25" customHeight="1">
      <c r="B364" s="2" t="s">
        <v>18</v>
      </c>
      <c r="C364" s="2">
        <f>1.13+0.18+0.01+0.35</f>
        <v>1.67</v>
      </c>
      <c r="D364" s="2">
        <f>0</f>
        <v>0</v>
      </c>
      <c r="E364" s="2">
        <f>18.89+3+0.18+5.78</f>
        <v>27.85</v>
      </c>
      <c r="F364" s="2">
        <v>0.0</v>
      </c>
      <c r="G364" s="2">
        <v>0.0</v>
      </c>
    </row>
    <row r="365" ht="14.25" customHeight="1">
      <c r="B365" s="2" t="s">
        <v>172</v>
      </c>
      <c r="C365" s="2">
        <f>'End of Life'!D866</f>
        <v>25.07</v>
      </c>
      <c r="D365" s="2">
        <f>'End of Life'!E866</f>
        <v>0</v>
      </c>
      <c r="E365" s="2">
        <f>'End of Life'!F866</f>
        <v>11.68</v>
      </c>
      <c r="F365" s="2">
        <f>'End of Life'!G866</f>
        <v>0.01</v>
      </c>
      <c r="G365" s="2">
        <f>'End of Life'!H866</f>
        <v>0.03</v>
      </c>
    </row>
    <row r="366" ht="14.25" customHeight="1">
      <c r="A366" s="45" t="s">
        <v>173</v>
      </c>
      <c r="B366" s="46"/>
      <c r="C366" s="46">
        <f t="shared" ref="C366:G366" si="70">SUM(C361:C365)</f>
        <v>1416.322555</v>
      </c>
      <c r="D366" s="46">
        <f t="shared" si="70"/>
        <v>24.64465389</v>
      </c>
      <c r="E366" s="46">
        <f t="shared" si="70"/>
        <v>28532.747</v>
      </c>
      <c r="F366" s="46">
        <f t="shared" si="70"/>
        <v>19.5625569</v>
      </c>
      <c r="G366" s="46">
        <f t="shared" si="70"/>
        <v>0.6207818932</v>
      </c>
    </row>
    <row r="367" ht="14.25" customHeight="1">
      <c r="A367" s="43" t="s">
        <v>199</v>
      </c>
      <c r="B367" s="2" t="s">
        <v>146</v>
      </c>
      <c r="C367" s="2">
        <f>4680+40.29</f>
        <v>4720.29</v>
      </c>
      <c r="D367" s="2">
        <f>3.36+1.66</f>
        <v>5.02</v>
      </c>
      <c r="E367" s="2">
        <f>63600+745.04</f>
        <v>64345.04</v>
      </c>
      <c r="F367" s="2">
        <f>28.44+0.34</f>
        <v>28.78</v>
      </c>
      <c r="G367" s="2">
        <v>0.13</v>
      </c>
    </row>
    <row r="368" ht="14.25" customHeight="1">
      <c r="B368" s="2" t="s">
        <v>171</v>
      </c>
      <c r="C368" s="2">
        <f>Production!D1535</f>
        <v>2.309775174</v>
      </c>
      <c r="D368" s="2">
        <f>Production!E1535</f>
        <v>0.0280522983</v>
      </c>
      <c r="E368" s="2">
        <f>Production!F1535</f>
        <v>329.6962975</v>
      </c>
      <c r="F368" s="2">
        <f>Production!G1535</f>
        <v>0.08968020725</v>
      </c>
      <c r="G368" s="2">
        <f>Production!H1535</f>
        <v>0.000316434923</v>
      </c>
    </row>
    <row r="369" ht="14.25" customHeight="1">
      <c r="B369" s="2" t="s">
        <v>16</v>
      </c>
      <c r="C369" s="2">
        <f>Production!D1534</f>
        <v>32.77436614</v>
      </c>
      <c r="D369" s="2">
        <f>Production!E1534</f>
        <v>0.4307239692</v>
      </c>
      <c r="E369" s="2">
        <f>Production!F1534</f>
        <v>855.4100683</v>
      </c>
      <c r="F369" s="2">
        <f>Production!G1534</f>
        <v>4.276280612</v>
      </c>
      <c r="G369" s="2">
        <f>Production!H1534</f>
        <v>0.3822125589</v>
      </c>
    </row>
    <row r="370" ht="14.25" customHeight="1">
      <c r="B370" s="2" t="s">
        <v>18</v>
      </c>
      <c r="C370" s="2">
        <f>2.63+0.1+0.32</f>
        <v>3.05</v>
      </c>
      <c r="D370" s="2">
        <f>0.01</f>
        <v>0.01</v>
      </c>
      <c r="E370" s="2">
        <f>43.94+1.73+5.26</f>
        <v>50.93</v>
      </c>
      <c r="F370" s="2">
        <v>0.0</v>
      </c>
      <c r="G370" s="2">
        <v>0.0</v>
      </c>
    </row>
    <row r="371" ht="14.25" customHeight="1">
      <c r="B371" s="2" t="s">
        <v>172</v>
      </c>
      <c r="C371" s="2">
        <f>'End of Life'!D872</f>
        <v>46.14</v>
      </c>
      <c r="D371" s="2">
        <f>'End of Life'!E872</f>
        <v>0</v>
      </c>
      <c r="E371" s="2">
        <f>'End of Life'!F872</f>
        <v>21.49</v>
      </c>
      <c r="F371" s="2">
        <f>'End of Life'!G872</f>
        <v>0.02</v>
      </c>
      <c r="G371" s="2">
        <f>'End of Life'!H872</f>
        <v>0.05</v>
      </c>
    </row>
    <row r="372" ht="14.25" customHeight="1">
      <c r="A372" s="45" t="s">
        <v>173</v>
      </c>
      <c r="B372" s="46"/>
      <c r="C372" s="46">
        <f t="shared" ref="C372:G372" si="71">SUM(C367:C371)</f>
        <v>4804.564141</v>
      </c>
      <c r="D372" s="46">
        <f t="shared" si="71"/>
        <v>5.488776268</v>
      </c>
      <c r="E372" s="46">
        <f t="shared" si="71"/>
        <v>65602.56637</v>
      </c>
      <c r="F372" s="46">
        <f t="shared" si="71"/>
        <v>33.16596082</v>
      </c>
      <c r="G372" s="46">
        <f t="shared" si="71"/>
        <v>0.5625289938</v>
      </c>
    </row>
    <row r="373" ht="14.25" customHeight="1">
      <c r="A373" s="43" t="s">
        <v>157</v>
      </c>
      <c r="B373" s="2" t="s">
        <v>146</v>
      </c>
      <c r="C373" s="2">
        <f>45.54+8.46+0.09+32.16+0.91</f>
        <v>87.16</v>
      </c>
      <c r="D373" s="2">
        <f>0.01+0.02+0.15+0.08</f>
        <v>0.26</v>
      </c>
      <c r="E373" s="2">
        <f>589.7+252.6+2.12+638.06+18.41</f>
        <v>1500.89</v>
      </c>
      <c r="F373" s="2">
        <f>0.34+0.09+0.59+0.02</f>
        <v>1.04</v>
      </c>
      <c r="G373" s="2">
        <f>0.01</f>
        <v>0.01</v>
      </c>
    </row>
    <row r="374" ht="14.25" customHeight="1">
      <c r="B374" s="2" t="s">
        <v>171</v>
      </c>
      <c r="C374" s="2">
        <f>Production!D1548+Production!D1552</f>
        <v>36.16416855</v>
      </c>
      <c r="D374" s="2">
        <f>Production!E1548+Production!E1552</f>
        <v>0.1623276645</v>
      </c>
      <c r="E374" s="2">
        <f>Production!F1548+Production!F1552</f>
        <v>733.3133185</v>
      </c>
      <c r="F374" s="2">
        <f>Production!G1548+Production!G1552</f>
        <v>0.6512446567</v>
      </c>
      <c r="G374" s="2">
        <f>Production!H1548+Production!H1552</f>
        <v>0.009839533046</v>
      </c>
    </row>
    <row r="375" ht="14.25" customHeight="1">
      <c r="B375" s="2" t="s">
        <v>16</v>
      </c>
      <c r="C375" s="2">
        <f>Production!D1551</f>
        <v>9.832309841</v>
      </c>
      <c r="D375" s="2">
        <f>Production!E1551</f>
        <v>0.1292171908</v>
      </c>
      <c r="E375" s="2">
        <f>Production!F1551</f>
        <v>256.6230205</v>
      </c>
      <c r="F375" s="2">
        <f>Production!G1551</f>
        <v>1.282884183</v>
      </c>
      <c r="G375" s="2">
        <f>Production!H1551</f>
        <v>0.1146637677</v>
      </c>
    </row>
    <row r="376" ht="14.25" customHeight="1">
      <c r="B376" s="2" t="s">
        <v>18</v>
      </c>
      <c r="C376" s="2">
        <f>2.14+1.32+0.01+0.9+0.42+0.02+0.09</f>
        <v>4.9</v>
      </c>
      <c r="D376" s="2">
        <f>0.01</f>
        <v>0.01</v>
      </c>
      <c r="E376" s="2">
        <f>34.71+21.41+0.2+12.74+6.66+0.35+1.58</f>
        <v>77.65</v>
      </c>
      <c r="F376" s="2">
        <v>0.0</v>
      </c>
      <c r="G376" s="2">
        <v>0.0</v>
      </c>
    </row>
    <row r="377" ht="14.25" customHeight="1">
      <c r="B377" s="2" t="s">
        <v>172</v>
      </c>
      <c r="C377" s="2">
        <f>'End of Life'!D884</f>
        <v>11.12</v>
      </c>
      <c r="D377" s="2">
        <f>'End of Life'!E884</f>
        <v>0</v>
      </c>
      <c r="E377" s="2">
        <f>'End of Life'!F884</f>
        <v>5.19</v>
      </c>
      <c r="F377" s="2">
        <f>'End of Life'!G884</f>
        <v>0</v>
      </c>
      <c r="G377" s="2">
        <f>'End of Life'!H884</f>
        <v>0</v>
      </c>
    </row>
    <row r="378" ht="14.25" customHeight="1">
      <c r="A378" s="45" t="s">
        <v>173</v>
      </c>
      <c r="B378" s="46"/>
      <c r="C378" s="46">
        <f t="shared" ref="C378:G378" si="72">SUM(C373:C377)</f>
        <v>149.1764784</v>
      </c>
      <c r="D378" s="46">
        <f t="shared" si="72"/>
        <v>0.5615448553</v>
      </c>
      <c r="E378" s="46">
        <f t="shared" si="72"/>
        <v>2573.666339</v>
      </c>
      <c r="F378" s="46">
        <f t="shared" si="72"/>
        <v>2.97412884</v>
      </c>
      <c r="G378" s="46">
        <f t="shared" si="72"/>
        <v>0.1345033007</v>
      </c>
    </row>
    <row r="379" ht="14.25" customHeight="1">
      <c r="A379" s="43" t="s">
        <v>200</v>
      </c>
      <c r="B379" s="2" t="s">
        <v>146</v>
      </c>
      <c r="C379" s="2">
        <f>419.62+18.3+16.86+19.74+7.71+2.41+12.36+4.28+7.22+19.26</f>
        <v>527.76</v>
      </c>
      <c r="D379" s="2">
        <f>0.6+0.06+0.06+0.07+0.03+0.01+0.02+0.07</f>
        <v>0.92</v>
      </c>
      <c r="E379" s="2">
        <f>11740+371.56+342.23+400.9+156.45+48.89+248.18+70.73+146.67+391.12</f>
        <v>13916.73</v>
      </c>
      <c r="F379" s="2">
        <f>3.73+0.24+0.22+0.26+0.1+0.03+0.14+0.02+0.1+0.25</f>
        <v>5.09</v>
      </c>
      <c r="G379" s="2">
        <v>0.07</v>
      </c>
    </row>
    <row r="380" ht="14.25" customHeight="1">
      <c r="B380" s="2" t="s">
        <v>171</v>
      </c>
      <c r="C380" s="2">
        <f>Production!D1574</f>
        <v>16.02042878</v>
      </c>
      <c r="D380" s="2">
        <f>Production!E1574</f>
        <v>0.2056551092</v>
      </c>
      <c r="E380" s="2">
        <f>Production!F1574</f>
        <v>2360.129251</v>
      </c>
      <c r="F380" s="2">
        <f>Production!G1574</f>
        <v>0.6420635774</v>
      </c>
      <c r="G380" s="2">
        <f>Production!H1574</f>
        <v>0.002324024772</v>
      </c>
    </row>
    <row r="381" ht="14.25" customHeight="1">
      <c r="B381" s="2" t="s">
        <v>16</v>
      </c>
      <c r="C381" s="2">
        <f>Production!D1571+Production!D1572+Production!D1573+Production!D1591</f>
        <v>76.91259651</v>
      </c>
      <c r="D381" s="2">
        <f>Production!E1571+Production!E1572+Production!E1573+Production!E1591</f>
        <v>0.2255847546</v>
      </c>
      <c r="E381" s="2">
        <f>Production!F1571+Production!F1572+Production!F1573+Production!F1591</f>
        <v>1721.248897</v>
      </c>
      <c r="F381" s="2">
        <f>Production!G1571+Production!G1572+Production!G1573+Production!G1591</f>
        <v>1.206343979</v>
      </c>
      <c r="G381" s="2">
        <f>Production!H1571+Production!H1572+Production!H1573+Production!H1591</f>
        <v>0.005705891778</v>
      </c>
    </row>
    <row r="382" ht="14.25" customHeight="1">
      <c r="B382" s="2" t="s">
        <v>18</v>
      </c>
      <c r="C382" s="2">
        <f>0.48+0.18+0.05+0.03+0.06+0.19+0.49+0.53+0.57+1.47</f>
        <v>4.05</v>
      </c>
      <c r="D382" s="2">
        <f>0</f>
        <v>0</v>
      </c>
      <c r="E382" s="2">
        <f>8.01+3+0.89+0.43+0.93+3.2+8.21+8.76+9.51+24.53</f>
        <v>67.47</v>
      </c>
      <c r="F382" s="2">
        <f>0</f>
        <v>0</v>
      </c>
      <c r="G382" s="2">
        <v>0.0</v>
      </c>
    </row>
    <row r="383" ht="14.25" customHeight="1">
      <c r="B383" s="2" t="s">
        <v>172</v>
      </c>
      <c r="C383" s="2">
        <f>'End of Life'!D898</f>
        <v>15.1</v>
      </c>
      <c r="D383" s="2">
        <f>'End of Life'!E898</f>
        <v>0</v>
      </c>
      <c r="E383" s="2">
        <f>'End of Life'!F898</f>
        <v>3.07</v>
      </c>
      <c r="F383" s="2">
        <f>'End of Life'!G898</f>
        <v>0.01</v>
      </c>
      <c r="G383" s="2">
        <f>'End of Life'!H898</f>
        <v>0</v>
      </c>
    </row>
    <row r="384" ht="14.25" customHeight="1">
      <c r="A384" s="45" t="s">
        <v>173</v>
      </c>
      <c r="B384" s="46"/>
      <c r="C384" s="46">
        <f t="shared" ref="C384:G384" si="73">SUM(C379:C383)</f>
        <v>639.8430253</v>
      </c>
      <c r="D384" s="46">
        <f t="shared" si="73"/>
        <v>1.351239864</v>
      </c>
      <c r="E384" s="46">
        <f t="shared" si="73"/>
        <v>18068.64815</v>
      </c>
      <c r="F384" s="46">
        <f t="shared" si="73"/>
        <v>6.948407556</v>
      </c>
      <c r="G384" s="46">
        <f t="shared" si="73"/>
        <v>0.07802991655</v>
      </c>
      <c r="J384" s="2"/>
      <c r="K384" s="2"/>
      <c r="L384" s="2"/>
      <c r="M384" s="2"/>
      <c r="N384" s="2"/>
    </row>
    <row r="385" ht="14.25" customHeight="1">
      <c r="A385" s="43" t="s">
        <v>201</v>
      </c>
      <c r="B385" s="2" t="s">
        <v>146</v>
      </c>
      <c r="C385" s="2">
        <f>10500+2180+481.57+192.68+24.08+9.63+2.03</f>
        <v>13389.99</v>
      </c>
      <c r="D385" s="2">
        <f>0.03+0.01+0.08+0.27+1.65+3.11+13.34</f>
        <v>18.49</v>
      </c>
      <c r="E385" s="2">
        <f>270360+61100+9780+5390+488.9+195.56+39.28</f>
        <v>347353.74</v>
      </c>
      <c r="F385" s="2">
        <f>1.71+0.32+0.13+0.02+6.34+19.39+77.32</f>
        <v>105.23</v>
      </c>
      <c r="G385" s="2">
        <f>1.42+0.36+0.01+0.03</f>
        <v>1.82</v>
      </c>
      <c r="J385" s="2"/>
      <c r="K385" s="2"/>
      <c r="L385" s="2"/>
      <c r="M385" s="2"/>
      <c r="N385" s="2"/>
    </row>
    <row r="386" ht="14.25" customHeight="1">
      <c r="B386" s="2" t="s">
        <v>171</v>
      </c>
      <c r="C386" s="2">
        <f>Production!D1604+Production!D1605</f>
        <v>27.98823751</v>
      </c>
      <c r="D386" s="2">
        <f>Production!E1604+Production!E1605</f>
        <v>0.3592865161</v>
      </c>
      <c r="E386" s="2">
        <f>Production!F1604+Production!F1605</f>
        <v>4123.226596</v>
      </c>
      <c r="F386" s="2">
        <f>Production!G1604+Production!G1605</f>
        <v>1.12170705</v>
      </c>
      <c r="G386" s="2">
        <f>Production!H1604+Production!H1605</f>
        <v>0.004060150836</v>
      </c>
      <c r="J386" s="2"/>
      <c r="K386" s="2"/>
      <c r="L386" s="2"/>
      <c r="M386" s="2"/>
      <c r="N386" s="2"/>
    </row>
    <row r="387" ht="14.25" customHeight="1">
      <c r="B387" s="2" t="s">
        <v>16</v>
      </c>
      <c r="C387" s="2">
        <f>Production!D1601+Production!D1602+Production!D1603+Production!D1619</f>
        <v>85.25882676</v>
      </c>
      <c r="D387" s="2">
        <f>Production!E1601+Production!E1602+Production!E1603+Production!E1619</f>
        <v>0.2561068272</v>
      </c>
      <c r="E387" s="2">
        <f>Production!F1601+Production!F1602+Production!F1603+Production!F1619</f>
        <v>2022.530348</v>
      </c>
      <c r="F387" s="2">
        <f>Production!G1601+Production!G1602+Production!G1603+Production!G1619</f>
        <v>1.381645207</v>
      </c>
      <c r="G387" s="2">
        <f>Production!H1601+Production!H1602+Production!H1603+Production!H1619</f>
        <v>0.006595665218</v>
      </c>
    </row>
    <row r="388" ht="14.25" customHeight="1">
      <c r="B388" s="2" t="s">
        <v>18</v>
      </c>
      <c r="C388" s="2">
        <f>0.07+0.24+0.6+0.54+15.01+7.65+30.02</f>
        <v>54.13</v>
      </c>
      <c r="D388" s="2">
        <f>0.08+0.02+0.04</f>
        <v>0.14</v>
      </c>
      <c r="E388" s="2">
        <f>1.12+4.01+10.01+9.01+250.34+127.67+500.67</f>
        <v>902.83</v>
      </c>
      <c r="F388" s="2">
        <f>0.06+0.01+0.03</f>
        <v>0.1</v>
      </c>
      <c r="G388" s="2">
        <v>0.0</v>
      </c>
    </row>
    <row r="389" ht="14.25" customHeight="1">
      <c r="B389" s="2" t="s">
        <v>172</v>
      </c>
      <c r="C389" s="2">
        <f>'End of Life'!D913+'End of Life'!D919</f>
        <v>334.21</v>
      </c>
      <c r="D389" s="2">
        <f>'End of Life'!E913+'End of Life'!E919</f>
        <v>0.05</v>
      </c>
      <c r="E389" s="2">
        <f>'End of Life'!F913+'End of Life'!F919</f>
        <v>67.81</v>
      </c>
      <c r="F389" s="2">
        <f>'End of Life'!G913+'End of Life'!G919</f>
        <v>0.49</v>
      </c>
      <c r="G389" s="2">
        <f>'End of Life'!H913+'End of Life'!H919</f>
        <v>0</v>
      </c>
    </row>
    <row r="390" ht="14.25" customHeight="1">
      <c r="A390" s="45" t="s">
        <v>173</v>
      </c>
      <c r="B390" s="46"/>
      <c r="C390" s="46">
        <f t="shared" ref="C390:G390" si="74">SUM(C385:C389)</f>
        <v>13891.57706</v>
      </c>
      <c r="D390" s="46">
        <f t="shared" si="74"/>
        <v>19.29539334</v>
      </c>
      <c r="E390" s="46">
        <f t="shared" si="74"/>
        <v>354470.1369</v>
      </c>
      <c r="F390" s="46">
        <f t="shared" si="74"/>
        <v>108.3233523</v>
      </c>
      <c r="G390" s="46">
        <f t="shared" si="74"/>
        <v>1.830655816</v>
      </c>
    </row>
    <row r="391" ht="14.25" customHeight="1">
      <c r="A391" s="48" t="s">
        <v>202</v>
      </c>
      <c r="B391" s="2" t="s">
        <v>146</v>
      </c>
      <c r="C391" s="2">
        <f>663.04+1120+335.7+0.21</f>
        <v>2118.95</v>
      </c>
      <c r="D391" s="2">
        <f>6.42+0.8+13.79</f>
        <v>21.01</v>
      </c>
      <c r="E391" s="2">
        <f>8670+15210+6210+5.42</f>
        <v>30095.42</v>
      </c>
      <c r="F391" s="2">
        <f>4.12+6.8+2.8</f>
        <v>13.72</v>
      </c>
      <c r="G391" s="2">
        <f>0.02+0.03+0.01</f>
        <v>0.06</v>
      </c>
    </row>
    <row r="392" ht="14.25" customHeight="1">
      <c r="B392" s="2" t="s">
        <v>171</v>
      </c>
      <c r="C392" s="2">
        <f>Production!D1632</f>
        <v>10.35431739</v>
      </c>
      <c r="D392" s="2">
        <f>Production!E1632</f>
        <v>0.0251651463</v>
      </c>
      <c r="E392" s="2">
        <f>Production!F1632</f>
        <v>275.0613427</v>
      </c>
      <c r="F392" s="2">
        <f>Production!G1632</f>
        <v>0.2015771593</v>
      </c>
      <c r="G392" s="2">
        <f>Production!H1632</f>
        <v>0.000763250123</v>
      </c>
    </row>
    <row r="393" ht="14.25" customHeight="1">
      <c r="B393" s="2" t="s">
        <v>16</v>
      </c>
      <c r="C393" s="2">
        <f>Production!D1631</f>
        <v>32.85073226</v>
      </c>
      <c r="D393" s="2">
        <f>Production!E1631</f>
        <v>0.4308351222</v>
      </c>
      <c r="E393" s="2">
        <f>Production!F1631</f>
        <v>855.4782881</v>
      </c>
      <c r="F393" s="2">
        <f>Production!G1631</f>
        <v>4.275971333</v>
      </c>
      <c r="G393" s="2">
        <f>Production!H1631</f>
        <v>0.382212138</v>
      </c>
    </row>
    <row r="394" ht="14.25" customHeight="1">
      <c r="B394" s="2" t="s">
        <v>18</v>
      </c>
      <c r="C394" s="2">
        <f>0.39+1.08+0.78+1.06</f>
        <v>3.31</v>
      </c>
      <c r="D394" s="2">
        <v>0.0</v>
      </c>
      <c r="E394" s="2">
        <f>14.44+10.64+14.64+0.04+5.33</f>
        <v>45.09</v>
      </c>
      <c r="F394" s="2">
        <v>0.0</v>
      </c>
      <c r="G394" s="2">
        <v>0.0</v>
      </c>
    </row>
    <row r="395" ht="14.25" customHeight="1">
      <c r="B395" s="2" t="s">
        <v>172</v>
      </c>
      <c r="C395" s="2">
        <f>'End of Life'!D927</f>
        <v>40.33</v>
      </c>
      <c r="D395" s="2">
        <f>'End of Life'!E927</f>
        <v>0</v>
      </c>
      <c r="E395" s="2">
        <f>'End of Life'!F927</f>
        <v>18.78</v>
      </c>
      <c r="F395" s="2">
        <f>'End of Life'!G927</f>
        <v>0.02</v>
      </c>
      <c r="G395" s="2">
        <f>'End of Life'!H927</f>
        <v>0.04</v>
      </c>
    </row>
    <row r="396" ht="14.25" customHeight="1">
      <c r="A396" s="45" t="s">
        <v>173</v>
      </c>
      <c r="B396" s="46"/>
      <c r="C396" s="46">
        <f t="shared" ref="C396:G396" si="75">SUM(C391:C395)</f>
        <v>2205.79505</v>
      </c>
      <c r="D396" s="46">
        <f t="shared" si="75"/>
        <v>21.46600027</v>
      </c>
      <c r="E396" s="46">
        <f t="shared" si="75"/>
        <v>31289.82963</v>
      </c>
      <c r="F396" s="46">
        <f t="shared" si="75"/>
        <v>18.21754849</v>
      </c>
      <c r="G396" s="46">
        <f t="shared" si="75"/>
        <v>0.4829753881</v>
      </c>
    </row>
    <row r="397" ht="14.25" customHeight="1">
      <c r="A397" s="49"/>
      <c r="B397" s="50"/>
      <c r="C397" s="50"/>
      <c r="D397" s="50"/>
      <c r="E397" s="50"/>
      <c r="F397" s="50"/>
      <c r="G397" s="50"/>
    </row>
    <row r="398" ht="14.25" customHeight="1">
      <c r="A398" s="39"/>
    </row>
    <row r="399" ht="15.75" customHeight="1">
      <c r="A399" s="51"/>
      <c r="B399" s="52"/>
      <c r="C399" s="53" t="s">
        <v>203</v>
      </c>
      <c r="D399" s="53" t="s">
        <v>204</v>
      </c>
      <c r="E399" s="53" t="s">
        <v>205</v>
      </c>
      <c r="F399" s="53" t="s">
        <v>206</v>
      </c>
      <c r="G399" s="53" t="s">
        <v>207</v>
      </c>
    </row>
    <row r="400" ht="38.25" customHeight="1">
      <c r="A400" s="54">
        <v>11.2</v>
      </c>
      <c r="B400" s="55" t="s">
        <v>146</v>
      </c>
      <c r="C400" s="56">
        <f>SUMIF($B$4:$G$395,"Materials",$C$4:$C$395)</f>
        <v>451223.6898</v>
      </c>
      <c r="D400" s="56">
        <f>SUMIF($B$4:$G$395,"Materials",$D$4:$D$395)</f>
        <v>9599.177597</v>
      </c>
      <c r="E400" s="56">
        <f>SUMIF($B$4:$G$395,"Materials",$E$4:$E$395)</f>
        <v>10653830.65</v>
      </c>
      <c r="F400" s="56">
        <f>SUMIF($B$4:$G$395,"Materials",$F$4:$F$395)</f>
        <v>3957.113585</v>
      </c>
      <c r="G400" s="56">
        <f>SUMIF($B$4:$G$395,"Materials",$G$4:$G$395)</f>
        <v>50.87121612</v>
      </c>
    </row>
    <row r="401" ht="37.5" customHeight="1">
      <c r="B401" s="55" t="s">
        <v>171</v>
      </c>
      <c r="C401" s="56">
        <f>SUMIF($B$4:$G$395,"Manufacturing processes",$C$4:$C$395)</f>
        <v>40963.11897</v>
      </c>
      <c r="D401" s="56">
        <f>SUMIF($B$4:$G$395,"Manufacturing processes",$D$4:$D$395)</f>
        <v>363.2143961</v>
      </c>
      <c r="E401" s="56">
        <f>SUMIF($B$4:$G$395,"Manufacturing processes",$E$4:$E$395)</f>
        <v>4134410.393</v>
      </c>
      <c r="F401" s="56">
        <f>SUMIF($B$4:$G$395,"Manufacturing processes",$F$4:$F$395)</f>
        <v>1302.504363</v>
      </c>
      <c r="G401" s="56">
        <f>SUMIF($B$4:$G$395,"Manufacturing processes",$G$4:$G$395)</f>
        <v>4.319051451</v>
      </c>
    </row>
    <row r="402" ht="37.5" customHeight="1">
      <c r="B402" s="55" t="s">
        <v>16</v>
      </c>
      <c r="C402" s="56">
        <f>SUMIF(B4:G395,"Consumables",C4:C395)</f>
        <v>32860.83493</v>
      </c>
      <c r="D402" s="56">
        <f>SUMIF($B$4:$G$395,"Consumables",$D$4:$D$395)</f>
        <v>241.6251707</v>
      </c>
      <c r="E402" s="56">
        <f>SUMIF($B$4:$G$395,"Consumables",$E$4:$E$395)</f>
        <v>825257.0849</v>
      </c>
      <c r="F402" s="56">
        <f>SUMIF($B$4:$G$395,"Consumables",$F$4:$F$395)</f>
        <v>2217.530492</v>
      </c>
      <c r="G402" s="56">
        <f>SUMIF($B$4:$G$395,"Consumables",$G$4:$G$395)</f>
        <v>172.6158667</v>
      </c>
    </row>
    <row r="403" ht="37.5" customHeight="1">
      <c r="B403" s="55" t="s">
        <v>18</v>
      </c>
      <c r="C403" s="56">
        <f>SUMIF(B4:G395,"Transport",C4:C395)</f>
        <v>8932.18</v>
      </c>
      <c r="D403" s="56">
        <f>SUMIF($B$4:$G$395,"Transport",$D$4:$D$395)</f>
        <v>20.35</v>
      </c>
      <c r="E403" s="56">
        <f>SUMIF($B$4:$G$395,"Transport",$E$4:$E$395)</f>
        <v>148098.69</v>
      </c>
      <c r="F403" s="56">
        <f>SUMIF($B$4:$G$395,"Transport",$F$4:$F$395)</f>
        <v>14.69</v>
      </c>
      <c r="G403" s="56">
        <f>SUMIF($B$4:$G$395,"Transport",$G$4:$G$395)</f>
        <v>0.04</v>
      </c>
    </row>
    <row r="404" ht="37.5" customHeight="1">
      <c r="B404" s="55" t="s">
        <v>172</v>
      </c>
      <c r="C404" s="56">
        <f>SUMIF(B$4:G$395,"EOL",C$4:C$395)</f>
        <v>15600.11</v>
      </c>
      <c r="D404" s="56">
        <f>SUMIF($B$4:$G$395,"EOL",$D$4:$D$395)</f>
        <v>2.15</v>
      </c>
      <c r="E404" s="56">
        <f>SUMIF($B$4:$G$395,"EOL",$E$4:$E$395)</f>
        <v>4034.48</v>
      </c>
      <c r="F404" s="56">
        <f>SUMIF($B$4:$G$395,"EOL",$F$4:$F$395)</f>
        <v>21.75</v>
      </c>
      <c r="G404" s="56">
        <f>SUMIF($B$4:$G$395,"EOL",$G$4:$G$395)</f>
        <v>3.15</v>
      </c>
    </row>
    <row r="405" ht="37.5" customHeight="1">
      <c r="A405" s="51"/>
      <c r="B405" s="55" t="s">
        <v>173</v>
      </c>
      <c r="C405" s="57">
        <f t="shared" ref="C405:G405" si="76">SUM(C400:C404)</f>
        <v>549579.9337</v>
      </c>
      <c r="D405" s="57">
        <f t="shared" si="76"/>
        <v>10226.51716</v>
      </c>
      <c r="E405" s="57">
        <f t="shared" si="76"/>
        <v>15765631.3</v>
      </c>
      <c r="F405" s="57">
        <f t="shared" si="76"/>
        <v>7513.58844</v>
      </c>
      <c r="G405" s="57">
        <f t="shared" si="76"/>
        <v>230.9961343</v>
      </c>
    </row>
    <row r="406" ht="14.25" customHeight="1">
      <c r="A406" s="51"/>
      <c r="B406" s="52"/>
      <c r="C406" s="52"/>
      <c r="D406" s="52"/>
      <c r="E406" s="52"/>
      <c r="F406" s="52"/>
      <c r="G406" s="52"/>
    </row>
    <row r="407" ht="14.25" customHeight="1">
      <c r="A407" s="2"/>
    </row>
    <row r="408" ht="14.25" customHeight="1">
      <c r="A408" s="58"/>
    </row>
    <row r="409" ht="14.25" customHeight="1">
      <c r="A409" s="29"/>
    </row>
    <row r="410" ht="14.25" customHeight="1">
      <c r="A410" s="29"/>
    </row>
    <row r="411" ht="14.25" customHeight="1">
      <c r="A411" s="29"/>
    </row>
    <row r="412" ht="14.25" customHeight="1">
      <c r="A412" s="29"/>
    </row>
    <row r="413" ht="14.25" customHeight="1">
      <c r="A413" s="59"/>
    </row>
    <row r="414" ht="14.25" customHeight="1">
      <c r="A414" s="43"/>
    </row>
    <row r="415" ht="14.25" customHeight="1">
      <c r="A415" s="43"/>
    </row>
    <row r="416" ht="14.25" customHeight="1">
      <c r="A416" s="43"/>
    </row>
    <row r="417" ht="52.5" customHeight="1">
      <c r="A417" s="43"/>
      <c r="B417" s="60"/>
      <c r="C417" s="60"/>
      <c r="D417" s="60"/>
      <c r="E417" s="60"/>
      <c r="F417" s="60"/>
      <c r="G417" s="60"/>
      <c r="H417" s="60"/>
    </row>
    <row r="418" ht="52.5" customHeight="1">
      <c r="B418" s="60"/>
      <c r="C418" s="60"/>
      <c r="D418" s="60"/>
      <c r="E418" s="60"/>
      <c r="F418" s="60"/>
      <c r="G418" s="60"/>
      <c r="H418" s="60"/>
      <c r="I418" s="61"/>
    </row>
    <row r="419" ht="52.5" customHeight="1">
      <c r="B419" s="60"/>
      <c r="C419" s="60"/>
      <c r="D419" s="60"/>
      <c r="E419" s="60"/>
      <c r="F419" s="60"/>
      <c r="G419" s="60"/>
      <c r="H419" s="60"/>
      <c r="I419" s="61"/>
    </row>
    <row r="420" ht="52.5" customHeight="1">
      <c r="B420" s="60"/>
      <c r="C420" s="60"/>
      <c r="D420" s="60"/>
      <c r="E420" s="60"/>
      <c r="F420" s="60"/>
      <c r="G420" s="60"/>
      <c r="H420" s="60"/>
      <c r="I420" s="61"/>
    </row>
    <row r="421" ht="52.5" customHeight="1">
      <c r="B421" s="60"/>
      <c r="C421" s="60"/>
      <c r="D421" s="60"/>
      <c r="E421" s="60"/>
      <c r="F421" s="60"/>
      <c r="G421" s="60"/>
      <c r="H421" s="60"/>
      <c r="I421" s="61"/>
    </row>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0">
    <mergeCell ref="A291:A295"/>
    <mergeCell ref="A297:A301"/>
    <mergeCell ref="A303:A307"/>
    <mergeCell ref="A309:A313"/>
    <mergeCell ref="A315:A319"/>
    <mergeCell ref="A321:A323"/>
    <mergeCell ref="A325:A329"/>
    <mergeCell ref="A373:A377"/>
    <mergeCell ref="A379:A383"/>
    <mergeCell ref="A385:A389"/>
    <mergeCell ref="A391:A395"/>
    <mergeCell ref="A400:A404"/>
    <mergeCell ref="A408:A412"/>
    <mergeCell ref="A417:A421"/>
    <mergeCell ref="A331:A335"/>
    <mergeCell ref="A337:A341"/>
    <mergeCell ref="A343:A347"/>
    <mergeCell ref="A349:A353"/>
    <mergeCell ref="A355:A359"/>
    <mergeCell ref="A361:A365"/>
    <mergeCell ref="A367:A371"/>
    <mergeCell ref="A1:G1"/>
    <mergeCell ref="A4:A8"/>
    <mergeCell ref="A10:A14"/>
    <mergeCell ref="A16:A20"/>
    <mergeCell ref="A22:A26"/>
    <mergeCell ref="A28:A32"/>
    <mergeCell ref="A34:A38"/>
    <mergeCell ref="A42:A46"/>
    <mergeCell ref="A48:A52"/>
    <mergeCell ref="A54:A58"/>
    <mergeCell ref="A60:A64"/>
    <mergeCell ref="A66:A70"/>
    <mergeCell ref="A72:A76"/>
    <mergeCell ref="A78:A82"/>
    <mergeCell ref="A84:A88"/>
    <mergeCell ref="A90:A92"/>
    <mergeCell ref="A94:A98"/>
    <mergeCell ref="A100:A104"/>
    <mergeCell ref="A106:A110"/>
    <mergeCell ref="A112:A116"/>
    <mergeCell ref="A118:A122"/>
    <mergeCell ref="A124:A128"/>
    <mergeCell ref="A130:A134"/>
    <mergeCell ref="A138:A141"/>
    <mergeCell ref="A143:A147"/>
    <mergeCell ref="A149:A153"/>
    <mergeCell ref="A155:A159"/>
    <mergeCell ref="A161:A165"/>
    <mergeCell ref="A167:A171"/>
    <mergeCell ref="A173:A177"/>
    <mergeCell ref="A179:A183"/>
    <mergeCell ref="A185:A188"/>
    <mergeCell ref="A190:A194"/>
    <mergeCell ref="A196:A199"/>
    <mergeCell ref="A201:A205"/>
    <mergeCell ref="A207:A211"/>
    <mergeCell ref="A213:A217"/>
    <mergeCell ref="A219:A223"/>
    <mergeCell ref="A225:A229"/>
    <mergeCell ref="A231:A235"/>
    <mergeCell ref="A237:A241"/>
    <mergeCell ref="A243:A247"/>
    <mergeCell ref="A249:A253"/>
    <mergeCell ref="A255:A259"/>
    <mergeCell ref="A261:A265"/>
    <mergeCell ref="A267:A271"/>
    <mergeCell ref="A273:A277"/>
    <mergeCell ref="A279:A283"/>
    <mergeCell ref="A285:A289"/>
  </mergeCells>
  <printOptions horizontalCentered="1"/>
  <pageMargins bottom="0.75" footer="0.0" header="0.0" left="0.7" right="0.7" top="0.75"/>
  <pageSetup orientation="landscape"/>
  <rowBreaks count="12" manualBreakCount="12">
    <brk id="407" man="1"/>
    <brk id="154" man="1"/>
    <brk id="314" man="1"/>
    <brk id="378" man="1"/>
    <brk id="123" man="1"/>
    <brk id="27" man="1"/>
    <brk id="59" man="1"/>
    <brk id="284" man="1"/>
    <brk id="348" man="1"/>
    <brk id="93" man="1"/>
    <brk id="397" man="1"/>
    <brk id="254" man="1"/>
  </rowBreak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2.63" defaultRowHeight="15.0"/>
  <cols>
    <col customWidth="1" min="1" max="1" width="20.63"/>
    <col customWidth="1" min="2" max="2" width="34.0"/>
    <col customWidth="1" min="3" max="3" width="20.63"/>
    <col customWidth="1" min="4" max="11" width="7.63"/>
  </cols>
  <sheetData>
    <row r="1" ht="14.25" customHeight="1">
      <c r="A1" s="1" t="s">
        <v>0</v>
      </c>
      <c r="B1" s="1" t="s">
        <v>1</v>
      </c>
      <c r="C1" s="1" t="s">
        <v>2</v>
      </c>
      <c r="D1" s="1" t="s">
        <v>3</v>
      </c>
      <c r="E1" s="1" t="s">
        <v>4</v>
      </c>
      <c r="F1" s="1" t="s">
        <v>5</v>
      </c>
      <c r="G1" s="1" t="s">
        <v>6</v>
      </c>
      <c r="H1" s="1" t="s">
        <v>7</v>
      </c>
    </row>
    <row r="2" ht="14.25" customHeight="1">
      <c r="A2" s="2" t="s">
        <v>8</v>
      </c>
      <c r="B2" s="2" t="s">
        <v>9</v>
      </c>
      <c r="C2" s="2" t="s">
        <v>10</v>
      </c>
      <c r="D2" s="2">
        <v>0.0</v>
      </c>
      <c r="E2" s="2">
        <v>0.0</v>
      </c>
      <c r="F2" s="2">
        <v>0.0</v>
      </c>
      <c r="G2" s="2">
        <v>0.0</v>
      </c>
      <c r="H2" s="2">
        <v>0.0</v>
      </c>
    </row>
    <row r="3" ht="14.25" customHeight="1">
      <c r="A3" s="2" t="s">
        <v>8</v>
      </c>
      <c r="B3" s="2" t="s">
        <v>11</v>
      </c>
      <c r="C3" s="2" t="s">
        <v>12</v>
      </c>
      <c r="D3" s="2">
        <v>196.0275572581201</v>
      </c>
      <c r="E3" s="2">
        <v>0.05265314805683</v>
      </c>
      <c r="F3" s="2">
        <v>2566.999173708475</v>
      </c>
      <c r="G3" s="2">
        <v>1.3976804968828</v>
      </c>
      <c r="H3" s="2">
        <v>0.00631474474067352</v>
      </c>
    </row>
    <row r="4" ht="14.25" customHeight="1">
      <c r="A4" s="2" t="s">
        <v>8</v>
      </c>
      <c r="B4" s="2" t="s">
        <v>11</v>
      </c>
      <c r="C4" s="2" t="s">
        <v>12</v>
      </c>
      <c r="D4" s="2">
        <v>40.1518872956048</v>
      </c>
      <c r="E4" s="2">
        <v>0.07894396775984</v>
      </c>
      <c r="F4" s="2">
        <v>1125.4685249084</v>
      </c>
      <c r="G4" s="2">
        <v>0.3724498753344</v>
      </c>
      <c r="H4" s="2">
        <v>8.9710059469696E-4</v>
      </c>
    </row>
    <row r="5" ht="14.25" customHeight="1">
      <c r="A5" s="2" t="s">
        <v>8</v>
      </c>
      <c r="B5" s="2" t="s">
        <v>11</v>
      </c>
      <c r="C5" s="2" t="s">
        <v>12</v>
      </c>
      <c r="D5" s="2">
        <v>31.0053145492026</v>
      </c>
      <c r="E5" s="2">
        <v>0.0967530064995</v>
      </c>
      <c r="F5" s="2">
        <v>667.4044624241772</v>
      </c>
      <c r="G5" s="2">
        <v>0.3408950430558</v>
      </c>
      <c r="H5" s="2">
        <v>0.0017711512965351</v>
      </c>
    </row>
    <row r="6" ht="14.25" customHeight="1">
      <c r="A6" s="2" t="s">
        <v>8</v>
      </c>
      <c r="B6" s="2" t="s">
        <v>11</v>
      </c>
      <c r="C6" s="2" t="s">
        <v>13</v>
      </c>
      <c r="D6" s="2">
        <v>135.60615122736</v>
      </c>
      <c r="E6" s="2">
        <v>0.634912749042</v>
      </c>
      <c r="F6" s="2">
        <v>2669.6149772259</v>
      </c>
      <c r="G6" s="2">
        <v>2.423393960713</v>
      </c>
      <c r="H6" s="2">
        <v>0.039423309834557</v>
      </c>
    </row>
    <row r="7" ht="14.25" customHeight="1">
      <c r="A7" s="2" t="s">
        <v>8</v>
      </c>
      <c r="B7" s="2" t="s">
        <v>11</v>
      </c>
      <c r="C7" s="2" t="s">
        <v>14</v>
      </c>
      <c r="D7" s="2">
        <v>29.7122030370282</v>
      </c>
      <c r="E7" s="2">
        <v>0.0630204618745</v>
      </c>
      <c r="F7" s="2">
        <v>657.2733349654004</v>
      </c>
      <c r="G7" s="2">
        <v>0.3982038568456</v>
      </c>
      <c r="H7" s="2">
        <v>0.0016002100403952</v>
      </c>
    </row>
    <row r="8" ht="14.25" customHeight="1">
      <c r="A8" s="2" t="s">
        <v>8</v>
      </c>
      <c r="B8" s="2" t="s">
        <v>11</v>
      </c>
      <c r="C8" s="2" t="s">
        <v>15</v>
      </c>
      <c r="D8" s="2">
        <v>3.826874258196</v>
      </c>
      <c r="E8" s="2">
        <v>0.31673645834</v>
      </c>
      <c r="F8" s="2">
        <v>77.284667839612</v>
      </c>
      <c r="G8" s="2">
        <v>0.097529978473</v>
      </c>
      <c r="H8" s="2">
        <v>2.194818821135E-4</v>
      </c>
    </row>
    <row r="9" ht="14.25" customHeight="1">
      <c r="A9" s="2" t="s">
        <v>8</v>
      </c>
      <c r="B9" s="2" t="s">
        <v>11</v>
      </c>
      <c r="C9" s="2" t="s">
        <v>16</v>
      </c>
      <c r="D9" s="2">
        <v>32.77436613696</v>
      </c>
      <c r="E9" s="2">
        <v>0.4307239692</v>
      </c>
      <c r="F9" s="2">
        <v>855.41006832372</v>
      </c>
      <c r="G9" s="2">
        <v>4.27628061155484</v>
      </c>
      <c r="H9" s="2">
        <v>0.382212558881685</v>
      </c>
    </row>
    <row r="10" ht="14.25" customHeight="1">
      <c r="A10" s="2" t="s">
        <v>8</v>
      </c>
      <c r="B10" s="2" t="s">
        <v>11</v>
      </c>
      <c r="C10" s="2" t="s">
        <v>17</v>
      </c>
      <c r="D10" s="2">
        <v>10.35431739</v>
      </c>
      <c r="E10" s="2">
        <v>0.0251651463</v>
      </c>
      <c r="F10" s="2">
        <v>275.061342655</v>
      </c>
      <c r="G10" s="2">
        <v>0.20157715925</v>
      </c>
      <c r="H10" s="2">
        <v>7.63250123E-4</v>
      </c>
    </row>
    <row r="11" ht="14.25" customHeight="1">
      <c r="A11" s="2" t="s">
        <v>8</v>
      </c>
      <c r="B11" s="2" t="s">
        <v>208</v>
      </c>
      <c r="C11" s="2" t="s">
        <v>12</v>
      </c>
      <c r="D11" s="2">
        <v>0.0</v>
      </c>
      <c r="E11" s="2">
        <v>0.0</v>
      </c>
      <c r="F11" s="2">
        <v>0.0</v>
      </c>
      <c r="G11" s="2">
        <v>0.0</v>
      </c>
      <c r="H11" s="2">
        <v>0.0</v>
      </c>
    </row>
    <row r="12" ht="14.25" customHeight="1">
      <c r="A12" s="2" t="s">
        <v>8</v>
      </c>
      <c r="B12" s="2" t="s">
        <v>208</v>
      </c>
      <c r="C12" s="2" t="s">
        <v>12</v>
      </c>
      <c r="D12" s="2">
        <v>0.0</v>
      </c>
      <c r="E12" s="2">
        <v>0.0</v>
      </c>
      <c r="F12" s="2">
        <v>0.0</v>
      </c>
      <c r="G12" s="2">
        <v>0.0</v>
      </c>
      <c r="H12" s="2">
        <v>0.0</v>
      </c>
    </row>
    <row r="13" ht="14.25" customHeight="1">
      <c r="A13" s="2" t="s">
        <v>8</v>
      </c>
      <c r="B13" s="2" t="s">
        <v>208</v>
      </c>
      <c r="C13" s="2" t="s">
        <v>12</v>
      </c>
      <c r="D13" s="2">
        <v>0.0</v>
      </c>
      <c r="E13" s="2">
        <v>0.0</v>
      </c>
      <c r="F13" s="2">
        <v>0.0</v>
      </c>
      <c r="G13" s="2">
        <v>0.0</v>
      </c>
      <c r="H13" s="2">
        <v>0.0</v>
      </c>
    </row>
    <row r="14" ht="14.25" customHeight="1">
      <c r="A14" s="2" t="s">
        <v>8</v>
      </c>
      <c r="B14" s="2" t="s">
        <v>208</v>
      </c>
      <c r="C14" s="2" t="s">
        <v>13</v>
      </c>
      <c r="D14" s="2">
        <v>0.0</v>
      </c>
      <c r="E14" s="2">
        <v>0.0</v>
      </c>
      <c r="F14" s="2">
        <v>0.0</v>
      </c>
      <c r="G14" s="2">
        <v>0.0</v>
      </c>
      <c r="H14" s="2">
        <v>0.0</v>
      </c>
    </row>
    <row r="15" ht="14.25" customHeight="1">
      <c r="A15" s="2" t="s">
        <v>8</v>
      </c>
      <c r="B15" s="2" t="s">
        <v>208</v>
      </c>
      <c r="C15" s="2" t="s">
        <v>14</v>
      </c>
      <c r="D15" s="2">
        <v>0.0</v>
      </c>
      <c r="E15" s="2">
        <v>0.0</v>
      </c>
      <c r="F15" s="2">
        <v>0.0</v>
      </c>
      <c r="G15" s="2">
        <v>0.0</v>
      </c>
      <c r="H15" s="2">
        <v>0.0</v>
      </c>
    </row>
    <row r="16" ht="14.25" customHeight="1">
      <c r="A16" s="2" t="s">
        <v>8</v>
      </c>
      <c r="B16" s="2" t="s">
        <v>208</v>
      </c>
      <c r="C16" s="2" t="s">
        <v>15</v>
      </c>
      <c r="D16" s="2">
        <v>0.0</v>
      </c>
      <c r="E16" s="2">
        <v>0.0</v>
      </c>
      <c r="F16" s="2">
        <v>0.0</v>
      </c>
      <c r="G16" s="2">
        <v>0.0</v>
      </c>
      <c r="H16" s="2">
        <v>0.0</v>
      </c>
    </row>
    <row r="17" ht="14.25" customHeight="1">
      <c r="A17" s="2" t="s">
        <v>8</v>
      </c>
      <c r="B17" s="2" t="s">
        <v>208</v>
      </c>
      <c r="C17" s="2" t="s">
        <v>16</v>
      </c>
      <c r="D17" s="2">
        <v>0.0</v>
      </c>
      <c r="E17" s="2">
        <v>0.0</v>
      </c>
      <c r="F17" s="2">
        <v>0.0</v>
      </c>
      <c r="G17" s="2">
        <v>0.0</v>
      </c>
      <c r="H17" s="2">
        <v>0.0</v>
      </c>
    </row>
    <row r="18" ht="14.25" customHeight="1">
      <c r="A18" s="2" t="s">
        <v>8</v>
      </c>
      <c r="B18" s="2" t="s">
        <v>208</v>
      </c>
      <c r="C18" s="2" t="s">
        <v>17</v>
      </c>
      <c r="D18" s="2">
        <v>0.0</v>
      </c>
      <c r="E18" s="2">
        <v>0.0</v>
      </c>
      <c r="F18" s="2">
        <v>0.0</v>
      </c>
      <c r="G18" s="2">
        <v>0.0</v>
      </c>
      <c r="H18" s="2">
        <v>0.0</v>
      </c>
    </row>
    <row r="19" ht="14.25" customHeight="1">
      <c r="A19" s="2" t="s">
        <v>8</v>
      </c>
      <c r="B19" s="2" t="s">
        <v>11</v>
      </c>
      <c r="C19" s="2" t="s">
        <v>10</v>
      </c>
      <c r="D19" s="2">
        <v>479.4586711524717</v>
      </c>
      <c r="E19" s="2">
        <v>1.69890890707267</v>
      </c>
      <c r="F19" s="2">
        <v>8894.516552050685</v>
      </c>
      <c r="G19" s="2">
        <v>9.50801098210944</v>
      </c>
      <c r="H19" s="2">
        <v>0.4332018073936563</v>
      </c>
    </row>
    <row r="20" ht="14.25" customHeight="1">
      <c r="A20" s="2" t="s">
        <v>8</v>
      </c>
      <c r="B20" s="2" t="s">
        <v>18</v>
      </c>
      <c r="C20" s="2" t="s">
        <v>10</v>
      </c>
      <c r="D20" s="2">
        <v>0.0</v>
      </c>
      <c r="E20" s="2">
        <v>0.0</v>
      </c>
      <c r="F20" s="2">
        <v>0.0</v>
      </c>
      <c r="G20" s="2">
        <v>0.0</v>
      </c>
      <c r="H20" s="2">
        <v>0.0</v>
      </c>
    </row>
    <row r="21" ht="14.25" customHeight="1">
      <c r="A21" s="2" t="s">
        <v>19</v>
      </c>
      <c r="B21" s="2" t="s">
        <v>9</v>
      </c>
      <c r="C21" s="2" t="s">
        <v>10</v>
      </c>
      <c r="D21" s="2">
        <v>0.0</v>
      </c>
      <c r="E21" s="2">
        <v>0.0</v>
      </c>
      <c r="F21" s="2">
        <v>0.0</v>
      </c>
      <c r="G21" s="2">
        <v>0.0</v>
      </c>
      <c r="H21" s="2">
        <v>0.0</v>
      </c>
    </row>
    <row r="22" ht="14.25" customHeight="1">
      <c r="A22" s="2" t="s">
        <v>19</v>
      </c>
      <c r="B22" s="2" t="s">
        <v>11</v>
      </c>
      <c r="C22" s="2" t="s">
        <v>12</v>
      </c>
      <c r="D22" s="2">
        <v>220.7141789024722</v>
      </c>
      <c r="E22" s="2">
        <v>0.05928399303926</v>
      </c>
      <c r="F22" s="2">
        <v>2890.27279017895</v>
      </c>
      <c r="G22" s="2">
        <v>1.5736966146616</v>
      </c>
      <c r="H22" s="2">
        <v>0.00710998861543344</v>
      </c>
    </row>
    <row r="23" ht="14.25" customHeight="1">
      <c r="A23" s="2" t="s">
        <v>19</v>
      </c>
      <c r="B23" s="2" t="s">
        <v>11</v>
      </c>
      <c r="C23" s="2" t="s">
        <v>12</v>
      </c>
      <c r="D23" s="2">
        <v>45.2832385637931</v>
      </c>
      <c r="E23" s="2">
        <v>0.08903288901273</v>
      </c>
      <c r="F23" s="2">
        <v>1269.301722587925</v>
      </c>
      <c r="G23" s="2">
        <v>0.4200484135068</v>
      </c>
      <c r="H23" s="2">
        <v>0.00101174871174312</v>
      </c>
    </row>
    <row r="24" ht="14.25" customHeight="1">
      <c r="A24" s="2" t="s">
        <v>19</v>
      </c>
      <c r="B24" s="2" t="s">
        <v>11</v>
      </c>
      <c r="C24" s="2" t="s">
        <v>12</v>
      </c>
      <c r="D24" s="2">
        <v>34.9728192545508</v>
      </c>
      <c r="E24" s="2">
        <v>0.109133722971</v>
      </c>
      <c r="F24" s="2">
        <v>752.8069291798776</v>
      </c>
      <c r="G24" s="2">
        <v>0.3845166836364</v>
      </c>
      <c r="H24" s="2">
        <v>0.0019977915098358</v>
      </c>
    </row>
    <row r="25" ht="14.25" customHeight="1">
      <c r="A25" s="2" t="s">
        <v>19</v>
      </c>
      <c r="B25" s="2" t="s">
        <v>11</v>
      </c>
      <c r="C25" s="2" t="s">
        <v>13</v>
      </c>
      <c r="D25" s="2">
        <v>152.8926641568</v>
      </c>
      <c r="E25" s="2">
        <v>0.71584880796</v>
      </c>
      <c r="F25" s="2">
        <v>3009.926485242</v>
      </c>
      <c r="G25" s="2">
        <v>2.73231822894</v>
      </c>
      <c r="H25" s="2">
        <v>0.04444883079366</v>
      </c>
    </row>
    <row r="26" ht="14.25" customHeight="1">
      <c r="A26" s="2" t="s">
        <v>19</v>
      </c>
      <c r="B26" s="2" t="s">
        <v>11</v>
      </c>
      <c r="C26" s="2" t="s">
        <v>14</v>
      </c>
      <c r="D26" s="2">
        <v>37.1721121059666</v>
      </c>
      <c r="E26" s="2">
        <v>0.0908542346635</v>
      </c>
      <c r="F26" s="2">
        <v>735.6394107926252</v>
      </c>
      <c r="G26" s="2">
        <v>0.4408549933328</v>
      </c>
      <c r="H26" s="2">
        <v>0.0018857148560976</v>
      </c>
    </row>
    <row r="27" ht="14.25" customHeight="1">
      <c r="A27" s="2" t="s">
        <v>19</v>
      </c>
      <c r="B27" s="2" t="s">
        <v>11</v>
      </c>
      <c r="C27" s="2" t="s">
        <v>15</v>
      </c>
      <c r="D27" s="2">
        <v>4.269287467236</v>
      </c>
      <c r="E27" s="2">
        <v>0.35335338994</v>
      </c>
      <c r="F27" s="2">
        <v>86.219311520492</v>
      </c>
      <c r="G27" s="2">
        <v>0.108805120493</v>
      </c>
      <c r="H27" s="2">
        <v>2.448555101035E-4</v>
      </c>
    </row>
    <row r="28" ht="14.25" customHeight="1">
      <c r="A28" s="2" t="s">
        <v>19</v>
      </c>
      <c r="B28" s="2" t="s">
        <v>11</v>
      </c>
      <c r="C28" s="2" t="s">
        <v>12</v>
      </c>
      <c r="D28" s="2">
        <v>13.250053571</v>
      </c>
      <c r="E28" s="2">
        <v>0.02467974712</v>
      </c>
      <c r="F28" s="2">
        <v>395.8424574437</v>
      </c>
      <c r="G28" s="2">
        <v>0.13853441864</v>
      </c>
      <c r="H28" s="2">
        <v>3.29669133E-4</v>
      </c>
    </row>
    <row r="29" ht="14.25" customHeight="1">
      <c r="A29" s="2" t="s">
        <v>19</v>
      </c>
      <c r="B29" s="2" t="s">
        <v>11</v>
      </c>
      <c r="C29" s="2" t="s">
        <v>16</v>
      </c>
      <c r="D29" s="2">
        <v>45.884112591744</v>
      </c>
      <c r="E29" s="2">
        <v>0.60301355688</v>
      </c>
      <c r="F29" s="2">
        <v>1197.574095653208</v>
      </c>
      <c r="G29" s="2">
        <v>5.986792856176776</v>
      </c>
      <c r="H29" s="2">
        <v>0.535097582434359</v>
      </c>
    </row>
    <row r="30" ht="14.25" customHeight="1">
      <c r="A30" s="2" t="s">
        <v>19</v>
      </c>
      <c r="B30" s="2" t="s">
        <v>11</v>
      </c>
      <c r="C30" s="2" t="s">
        <v>17</v>
      </c>
      <c r="D30" s="2">
        <v>14.496044346</v>
      </c>
      <c r="E30" s="2">
        <v>0.03523120482</v>
      </c>
      <c r="F30" s="2">
        <v>385.085879717</v>
      </c>
      <c r="G30" s="2">
        <v>0.28220802295</v>
      </c>
      <c r="H30" s="2">
        <v>0.0010685501722</v>
      </c>
    </row>
    <row r="31" ht="14.25" customHeight="1">
      <c r="A31" s="2" t="s">
        <v>19</v>
      </c>
      <c r="B31" s="2" t="s">
        <v>208</v>
      </c>
      <c r="C31" s="2" t="s">
        <v>12</v>
      </c>
      <c r="D31" s="2">
        <v>0.0</v>
      </c>
      <c r="E31" s="2">
        <v>0.0</v>
      </c>
      <c r="F31" s="2">
        <v>0.0</v>
      </c>
      <c r="G31" s="2">
        <v>0.0</v>
      </c>
      <c r="H31" s="2">
        <v>0.0</v>
      </c>
    </row>
    <row r="32" ht="14.25" customHeight="1">
      <c r="A32" s="2" t="s">
        <v>19</v>
      </c>
      <c r="B32" s="2" t="s">
        <v>208</v>
      </c>
      <c r="C32" s="2" t="s">
        <v>12</v>
      </c>
      <c r="D32" s="2">
        <v>0.0</v>
      </c>
      <c r="E32" s="2">
        <v>0.0</v>
      </c>
      <c r="F32" s="2">
        <v>0.0</v>
      </c>
      <c r="G32" s="2">
        <v>0.0</v>
      </c>
      <c r="H32" s="2">
        <v>0.0</v>
      </c>
    </row>
    <row r="33" ht="14.25" customHeight="1">
      <c r="A33" s="2" t="s">
        <v>19</v>
      </c>
      <c r="B33" s="2" t="s">
        <v>208</v>
      </c>
      <c r="C33" s="2" t="s">
        <v>12</v>
      </c>
      <c r="D33" s="2">
        <v>0.0</v>
      </c>
      <c r="E33" s="2">
        <v>0.0</v>
      </c>
      <c r="F33" s="2">
        <v>0.0</v>
      </c>
      <c r="G33" s="2">
        <v>0.0</v>
      </c>
      <c r="H33" s="2">
        <v>0.0</v>
      </c>
    </row>
    <row r="34" ht="14.25" customHeight="1">
      <c r="A34" s="2" t="s">
        <v>19</v>
      </c>
      <c r="B34" s="2" t="s">
        <v>208</v>
      </c>
      <c r="C34" s="2" t="s">
        <v>13</v>
      </c>
      <c r="D34" s="2">
        <v>0.0</v>
      </c>
      <c r="E34" s="2">
        <v>0.0</v>
      </c>
      <c r="F34" s="2">
        <v>0.0</v>
      </c>
      <c r="G34" s="2">
        <v>0.0</v>
      </c>
      <c r="H34" s="2">
        <v>0.0</v>
      </c>
    </row>
    <row r="35" ht="14.25" customHeight="1">
      <c r="A35" s="2" t="s">
        <v>19</v>
      </c>
      <c r="B35" s="2" t="s">
        <v>208</v>
      </c>
      <c r="C35" s="2" t="s">
        <v>14</v>
      </c>
      <c r="D35" s="2">
        <v>0.0</v>
      </c>
      <c r="E35" s="2">
        <v>0.0</v>
      </c>
      <c r="F35" s="2">
        <v>0.0</v>
      </c>
      <c r="G35" s="2">
        <v>0.0</v>
      </c>
      <c r="H35" s="2">
        <v>0.0</v>
      </c>
    </row>
    <row r="36" ht="14.25" customHeight="1">
      <c r="A36" s="2" t="s">
        <v>19</v>
      </c>
      <c r="B36" s="2" t="s">
        <v>208</v>
      </c>
      <c r="C36" s="2" t="s">
        <v>15</v>
      </c>
      <c r="D36" s="2">
        <v>0.0</v>
      </c>
      <c r="E36" s="2">
        <v>0.0</v>
      </c>
      <c r="F36" s="2">
        <v>0.0</v>
      </c>
      <c r="G36" s="2">
        <v>0.0</v>
      </c>
      <c r="H36" s="2">
        <v>0.0</v>
      </c>
    </row>
    <row r="37" ht="14.25" customHeight="1">
      <c r="A37" s="2" t="s">
        <v>19</v>
      </c>
      <c r="B37" s="2" t="s">
        <v>208</v>
      </c>
      <c r="C37" s="2" t="s">
        <v>12</v>
      </c>
      <c r="D37" s="2">
        <v>0.0</v>
      </c>
      <c r="E37" s="2">
        <v>0.0</v>
      </c>
      <c r="F37" s="2">
        <v>0.0</v>
      </c>
      <c r="G37" s="2">
        <v>0.0</v>
      </c>
      <c r="H37" s="2">
        <v>0.0</v>
      </c>
    </row>
    <row r="38" ht="14.25" customHeight="1">
      <c r="A38" s="2" t="s">
        <v>19</v>
      </c>
      <c r="B38" s="2" t="s">
        <v>208</v>
      </c>
      <c r="C38" s="2" t="s">
        <v>16</v>
      </c>
      <c r="D38" s="2">
        <v>0.0</v>
      </c>
      <c r="E38" s="2">
        <v>0.0</v>
      </c>
      <c r="F38" s="2">
        <v>0.0</v>
      </c>
      <c r="G38" s="2">
        <v>0.0</v>
      </c>
      <c r="H38" s="2">
        <v>0.0</v>
      </c>
    </row>
    <row r="39" ht="14.25" customHeight="1">
      <c r="A39" s="2" t="s">
        <v>19</v>
      </c>
      <c r="B39" s="2" t="s">
        <v>208</v>
      </c>
      <c r="C39" s="2" t="s">
        <v>17</v>
      </c>
      <c r="D39" s="2">
        <v>0.0</v>
      </c>
      <c r="E39" s="2">
        <v>0.0</v>
      </c>
      <c r="F39" s="2">
        <v>0.0</v>
      </c>
      <c r="G39" s="2">
        <v>0.0</v>
      </c>
      <c r="H39" s="2">
        <v>0.0</v>
      </c>
    </row>
    <row r="40" ht="14.25" customHeight="1">
      <c r="A40" s="2" t="s">
        <v>19</v>
      </c>
      <c r="B40" s="2" t="s">
        <v>11</v>
      </c>
      <c r="C40" s="2" t="s">
        <v>10</v>
      </c>
      <c r="D40" s="2">
        <v>568.9345109595627</v>
      </c>
      <c r="E40" s="2">
        <v>2.08043154640649</v>
      </c>
      <c r="F40" s="2">
        <v>10722.66908231578</v>
      </c>
      <c r="G40" s="2">
        <v>12.06777535233738</v>
      </c>
      <c r="H40" s="2">
        <v>0.5931947317364324</v>
      </c>
    </row>
    <row r="41" ht="14.25" customHeight="1">
      <c r="A41" s="2" t="s">
        <v>19</v>
      </c>
      <c r="B41" s="2" t="s">
        <v>18</v>
      </c>
      <c r="C41" s="2" t="s">
        <v>10</v>
      </c>
      <c r="D41" s="2">
        <v>0.0</v>
      </c>
      <c r="E41" s="2">
        <v>0.0</v>
      </c>
      <c r="F41" s="2">
        <v>0.0</v>
      </c>
      <c r="G41" s="2">
        <v>0.0</v>
      </c>
      <c r="H41" s="2">
        <v>0.0</v>
      </c>
    </row>
    <row r="42" ht="14.25" customHeight="1">
      <c r="A42" s="2" t="s">
        <v>20</v>
      </c>
      <c r="B42" s="2" t="s">
        <v>21</v>
      </c>
      <c r="C42" s="2" t="s">
        <v>10</v>
      </c>
      <c r="D42" s="2">
        <v>0.0</v>
      </c>
      <c r="E42" s="2">
        <v>0.0</v>
      </c>
      <c r="F42" s="2">
        <v>0.0</v>
      </c>
      <c r="G42" s="2">
        <v>0.0</v>
      </c>
      <c r="H42" s="2">
        <v>0.0</v>
      </c>
    </row>
    <row r="43" ht="14.25" customHeight="1">
      <c r="A43" s="2" t="s">
        <v>20</v>
      </c>
      <c r="B43" s="2" t="s">
        <v>22</v>
      </c>
      <c r="C43" s="2" t="s">
        <v>10</v>
      </c>
      <c r="D43" s="2">
        <v>0.0</v>
      </c>
      <c r="E43" s="2">
        <v>0.0</v>
      </c>
      <c r="F43" s="2">
        <v>0.0</v>
      </c>
      <c r="G43" s="2">
        <v>0.0</v>
      </c>
      <c r="H43" s="2">
        <v>0.0</v>
      </c>
    </row>
    <row r="44" ht="14.25" customHeight="1">
      <c r="A44" s="2" t="s">
        <v>20</v>
      </c>
      <c r="B44" s="2" t="s">
        <v>23</v>
      </c>
      <c r="C44" s="2" t="s">
        <v>24</v>
      </c>
      <c r="D44" s="2">
        <v>1735.487228005024</v>
      </c>
      <c r="E44" s="2">
        <v>2.03199652944</v>
      </c>
      <c r="F44" s="2">
        <v>42120.47034593013</v>
      </c>
      <c r="G44" s="2">
        <v>11.044245969692</v>
      </c>
      <c r="H44" s="2">
        <v>0.201236622175394</v>
      </c>
    </row>
    <row r="45" ht="14.25" customHeight="1">
      <c r="A45" s="2" t="s">
        <v>20</v>
      </c>
      <c r="B45" s="2" t="s">
        <v>23</v>
      </c>
      <c r="C45" s="2" t="s">
        <v>25</v>
      </c>
      <c r="D45" s="2">
        <v>91.2332408475</v>
      </c>
      <c r="E45" s="2">
        <v>0.3117519375</v>
      </c>
      <c r="F45" s="2">
        <v>1849.0255129575</v>
      </c>
      <c r="G45" s="2">
        <v>1.189863826875</v>
      </c>
      <c r="H45" s="2">
        <v>0.0023034776240625</v>
      </c>
    </row>
    <row r="46" ht="14.25" customHeight="1">
      <c r="A46" s="2" t="s">
        <v>20</v>
      </c>
      <c r="B46" s="2" t="s">
        <v>23</v>
      </c>
      <c r="C46" s="2" t="s">
        <v>26</v>
      </c>
      <c r="D46" s="2">
        <v>0.143038567485</v>
      </c>
      <c r="E46" s="2">
        <v>5.042205E-5</v>
      </c>
      <c r="F46" s="2">
        <v>2.28713790762</v>
      </c>
      <c r="G46" s="2">
        <v>0.00344142901125</v>
      </c>
      <c r="H46" s="2">
        <v>3.6840615744375E-5</v>
      </c>
    </row>
    <row r="47" ht="14.25" customHeight="1">
      <c r="A47" s="2" t="s">
        <v>20</v>
      </c>
      <c r="B47" s="2" t="s">
        <v>23</v>
      </c>
      <c r="C47" s="2" t="s">
        <v>27</v>
      </c>
      <c r="D47" s="2">
        <v>16.38718306848</v>
      </c>
      <c r="E47" s="2">
        <v>0.2153619846</v>
      </c>
      <c r="F47" s="2">
        <v>427.70503416186</v>
      </c>
      <c r="G47" s="2">
        <v>2.14090539395859</v>
      </c>
      <c r="H47" s="2">
        <v>0.1911062794408425</v>
      </c>
    </row>
    <row r="48" ht="14.25" customHeight="1">
      <c r="A48" s="2" t="s">
        <v>20</v>
      </c>
      <c r="B48" s="2" t="s">
        <v>23</v>
      </c>
      <c r="C48" s="2" t="s">
        <v>28</v>
      </c>
      <c r="D48" s="2">
        <v>5.177158695</v>
      </c>
      <c r="E48" s="2">
        <v>0.01258257315</v>
      </c>
      <c r="F48" s="2">
        <v>137.5306713275</v>
      </c>
      <c r="G48" s="2">
        <v>0.100788579625</v>
      </c>
      <c r="H48" s="2">
        <v>3.816250615E-4</v>
      </c>
    </row>
    <row r="49" ht="14.25" customHeight="1">
      <c r="A49" s="2" t="s">
        <v>20</v>
      </c>
      <c r="B49" s="2" t="s">
        <v>209</v>
      </c>
      <c r="C49" s="2" t="s">
        <v>24</v>
      </c>
      <c r="D49" s="2">
        <v>0.0</v>
      </c>
      <c r="E49" s="2">
        <v>0.0</v>
      </c>
      <c r="F49" s="2">
        <v>0.0</v>
      </c>
      <c r="G49" s="2">
        <v>0.0</v>
      </c>
      <c r="H49" s="2">
        <v>0.0</v>
      </c>
    </row>
    <row r="50" ht="14.25" customHeight="1">
      <c r="A50" s="2" t="s">
        <v>20</v>
      </c>
      <c r="B50" s="2" t="s">
        <v>209</v>
      </c>
      <c r="C50" s="2" t="s">
        <v>25</v>
      </c>
      <c r="D50" s="2">
        <v>0.0</v>
      </c>
      <c r="E50" s="2">
        <v>0.0</v>
      </c>
      <c r="F50" s="2">
        <v>0.0</v>
      </c>
      <c r="G50" s="2">
        <v>0.0</v>
      </c>
      <c r="H50" s="2">
        <v>0.0</v>
      </c>
    </row>
    <row r="51" ht="14.25" customHeight="1">
      <c r="A51" s="2" t="s">
        <v>20</v>
      </c>
      <c r="B51" s="2" t="s">
        <v>209</v>
      </c>
      <c r="C51" s="2" t="s">
        <v>26</v>
      </c>
      <c r="D51" s="2">
        <v>0.0</v>
      </c>
      <c r="E51" s="2">
        <v>0.0</v>
      </c>
      <c r="F51" s="2">
        <v>0.0</v>
      </c>
      <c r="G51" s="2">
        <v>0.0</v>
      </c>
      <c r="H51" s="2">
        <v>0.0</v>
      </c>
    </row>
    <row r="52" ht="14.25" customHeight="1">
      <c r="A52" s="2" t="s">
        <v>20</v>
      </c>
      <c r="B52" s="2" t="s">
        <v>209</v>
      </c>
      <c r="C52" s="2" t="s">
        <v>27</v>
      </c>
      <c r="D52" s="2">
        <v>0.0</v>
      </c>
      <c r="E52" s="2">
        <v>0.0</v>
      </c>
      <c r="F52" s="2">
        <v>0.0</v>
      </c>
      <c r="G52" s="2">
        <v>0.0</v>
      </c>
      <c r="H52" s="2">
        <v>0.0</v>
      </c>
    </row>
    <row r="53" ht="14.25" customHeight="1">
      <c r="A53" s="2" t="s">
        <v>20</v>
      </c>
      <c r="B53" s="2" t="s">
        <v>209</v>
      </c>
      <c r="C53" s="2" t="s">
        <v>28</v>
      </c>
      <c r="D53" s="2">
        <v>0.0</v>
      </c>
      <c r="E53" s="2">
        <v>0.0</v>
      </c>
      <c r="F53" s="2">
        <v>0.0</v>
      </c>
      <c r="G53" s="2">
        <v>0.0</v>
      </c>
      <c r="H53" s="2">
        <v>0.0</v>
      </c>
    </row>
    <row r="54" ht="14.25" customHeight="1">
      <c r="A54" s="2" t="s">
        <v>20</v>
      </c>
      <c r="B54" s="2" t="s">
        <v>23</v>
      </c>
      <c r="C54" s="2" t="s">
        <v>10</v>
      </c>
      <c r="D54" s="2">
        <v>1848.427849183489</v>
      </c>
      <c r="E54" s="2">
        <v>2.57174344674</v>
      </c>
      <c r="F54" s="2">
        <v>44537.01870228461</v>
      </c>
      <c r="G54" s="2">
        <v>14.47924519916184</v>
      </c>
      <c r="H54" s="2">
        <v>0.3950648449175434</v>
      </c>
    </row>
    <row r="55" ht="14.25" customHeight="1">
      <c r="A55" s="2" t="s">
        <v>20</v>
      </c>
      <c r="B55" s="2" t="s">
        <v>29</v>
      </c>
      <c r="C55" s="2" t="s">
        <v>10</v>
      </c>
      <c r="D55" s="2">
        <v>0.0</v>
      </c>
      <c r="E55" s="2">
        <v>0.0</v>
      </c>
      <c r="F55" s="2">
        <v>0.0</v>
      </c>
      <c r="G55" s="2">
        <v>0.0</v>
      </c>
      <c r="H55" s="2">
        <v>0.0</v>
      </c>
    </row>
    <row r="56" ht="14.25" customHeight="1">
      <c r="A56" s="2" t="s">
        <v>20</v>
      </c>
      <c r="B56" s="2" t="s">
        <v>18</v>
      </c>
      <c r="C56" s="2" t="s">
        <v>10</v>
      </c>
      <c r="D56" s="2">
        <v>0.0</v>
      </c>
      <c r="E56" s="2">
        <v>0.0</v>
      </c>
      <c r="F56" s="2">
        <v>0.0</v>
      </c>
      <c r="G56" s="2">
        <v>0.0</v>
      </c>
      <c r="H56" s="2">
        <v>0.0</v>
      </c>
    </row>
    <row r="57" ht="14.25" customHeight="1">
      <c r="A57" s="2" t="s">
        <v>30</v>
      </c>
      <c r="B57" s="2" t="s">
        <v>23</v>
      </c>
      <c r="C57" s="2" t="s">
        <v>24</v>
      </c>
      <c r="D57" s="2">
        <v>1263.8964106944</v>
      </c>
      <c r="E57" s="2">
        <v>1.610414592</v>
      </c>
      <c r="F57" s="2">
        <v>32503.4335721568</v>
      </c>
      <c r="G57" s="2">
        <v>9.2851713192</v>
      </c>
      <c r="H57" s="2">
        <v>0.1708792900764</v>
      </c>
    </row>
    <row r="58" ht="14.25" customHeight="1">
      <c r="A58" s="2" t="s">
        <v>30</v>
      </c>
      <c r="B58" s="2" t="s">
        <v>23</v>
      </c>
      <c r="C58" s="2" t="s">
        <v>24</v>
      </c>
      <c r="D58" s="2">
        <v>945.3164636432</v>
      </c>
      <c r="E58" s="2">
        <v>1.349782214</v>
      </c>
      <c r="F58" s="2">
        <v>26411.5254298104</v>
      </c>
      <c r="G58" s="2">
        <v>8.3702026606</v>
      </c>
      <c r="H58" s="2">
        <v>0.1557768612367</v>
      </c>
    </row>
    <row r="59" ht="14.25" customHeight="1">
      <c r="A59" s="2" t="s">
        <v>30</v>
      </c>
      <c r="B59" s="2" t="s">
        <v>23</v>
      </c>
      <c r="C59" s="2" t="s">
        <v>25</v>
      </c>
      <c r="D59" s="2">
        <v>89.3850432408</v>
      </c>
      <c r="E59" s="2">
        <v>0.304080588</v>
      </c>
      <c r="F59" s="2">
        <v>1805.1048625176</v>
      </c>
      <c r="G59" s="2">
        <v>1.1456860014</v>
      </c>
      <c r="H59" s="2">
        <v>0.0022229355573</v>
      </c>
    </row>
    <row r="60" ht="14.25" customHeight="1">
      <c r="A60" s="2" t="s">
        <v>30</v>
      </c>
      <c r="B60" s="2" t="s">
        <v>23</v>
      </c>
      <c r="C60" s="2" t="s">
        <v>25</v>
      </c>
      <c r="D60" s="2">
        <v>31.7337861204</v>
      </c>
      <c r="E60" s="2">
        <v>0.126389367</v>
      </c>
      <c r="F60" s="2">
        <v>611.7859892988</v>
      </c>
      <c r="G60" s="2">
        <v>0.3769651737</v>
      </c>
      <c r="H60" s="2">
        <v>7.4476277865E-4</v>
      </c>
    </row>
    <row r="61" ht="14.25" customHeight="1">
      <c r="A61" s="2" t="s">
        <v>30</v>
      </c>
      <c r="B61" s="2" t="s">
        <v>23</v>
      </c>
      <c r="C61" s="2" t="s">
        <v>25</v>
      </c>
      <c r="D61" s="2">
        <v>9.87163373696</v>
      </c>
      <c r="E61" s="2">
        <v>0.0336267744</v>
      </c>
      <c r="F61" s="2">
        <v>199.56586127712</v>
      </c>
      <c r="G61" s="2">
        <v>0.12718455368</v>
      </c>
      <c r="H61" s="2">
        <v>2.4660627176E-4</v>
      </c>
    </row>
    <row r="62" ht="14.25" customHeight="1">
      <c r="A62" s="2" t="s">
        <v>30</v>
      </c>
      <c r="B62" s="2" t="s">
        <v>23</v>
      </c>
      <c r="C62" s="2" t="s">
        <v>31</v>
      </c>
      <c r="D62" s="2">
        <v>50.77137655056</v>
      </c>
      <c r="E62" s="2">
        <v>1.0733479824</v>
      </c>
      <c r="F62" s="2">
        <v>1364.47135291632</v>
      </c>
      <c r="G62" s="2">
        <v>0.73877853948</v>
      </c>
      <c r="H62" s="2">
        <v>0.00151454479086</v>
      </c>
    </row>
    <row r="63" ht="14.25" customHeight="1">
      <c r="A63" s="2" t="s">
        <v>30</v>
      </c>
      <c r="B63" s="2" t="s">
        <v>23</v>
      </c>
      <c r="C63" s="2" t="s">
        <v>31</v>
      </c>
      <c r="D63" s="2">
        <v>43.0922920529216</v>
      </c>
      <c r="E63" s="2">
        <v>0.014563538784</v>
      </c>
      <c r="F63" s="2">
        <v>864.7466949417152</v>
      </c>
      <c r="G63" s="2">
        <v>0.4699151556528</v>
      </c>
      <c r="H63" s="2">
        <v>0.0010537424290296</v>
      </c>
    </row>
    <row r="64" ht="14.25" customHeight="1">
      <c r="A64" s="2" t="s">
        <v>30</v>
      </c>
      <c r="B64" s="2" t="s">
        <v>23</v>
      </c>
      <c r="C64" s="2" t="s">
        <v>32</v>
      </c>
      <c r="D64" s="2">
        <v>58.4532462528</v>
      </c>
      <c r="E64" s="2">
        <v>0.184455642</v>
      </c>
      <c r="F64" s="2">
        <v>1551.361094556</v>
      </c>
      <c r="G64" s="2">
        <v>1.004463612</v>
      </c>
      <c r="H64" s="2">
        <v>0.0048579852</v>
      </c>
    </row>
    <row r="65" ht="14.25" customHeight="1">
      <c r="A65" s="2" t="s">
        <v>30</v>
      </c>
      <c r="B65" s="2" t="s">
        <v>23</v>
      </c>
      <c r="C65" s="2" t="s">
        <v>32</v>
      </c>
      <c r="D65" s="2">
        <v>9.429887964</v>
      </c>
      <c r="E65" s="2">
        <v>0.031717284</v>
      </c>
      <c r="F65" s="2">
        <v>258.87956964</v>
      </c>
      <c r="G65" s="2">
        <v>0.192497796</v>
      </c>
      <c r="H65" s="2">
        <v>8.95128E-4</v>
      </c>
    </row>
    <row r="66" ht="14.25" customHeight="1">
      <c r="A66" s="2" t="s">
        <v>30</v>
      </c>
      <c r="B66" s="2" t="s">
        <v>23</v>
      </c>
      <c r="C66" s="2" t="s">
        <v>26</v>
      </c>
      <c r="D66" s="2">
        <v>101.2708589395212</v>
      </c>
      <c r="E66" s="2">
        <v>0.28802768722</v>
      </c>
      <c r="F66" s="2">
        <v>2120.499828397125</v>
      </c>
      <c r="G66" s="2">
        <v>1.5075090024925</v>
      </c>
      <c r="H66" s="2">
        <v>0.0070837171825</v>
      </c>
    </row>
    <row r="67" ht="14.25" customHeight="1">
      <c r="A67" s="2" t="s">
        <v>30</v>
      </c>
      <c r="B67" s="2" t="s">
        <v>23</v>
      </c>
      <c r="C67" s="2" t="s">
        <v>33</v>
      </c>
      <c r="D67" s="2">
        <v>0.0</v>
      </c>
      <c r="E67" s="2">
        <v>0.0</v>
      </c>
      <c r="F67" s="2">
        <v>0.0</v>
      </c>
      <c r="G67" s="2">
        <v>0.0</v>
      </c>
      <c r="H67" s="2">
        <v>0.0</v>
      </c>
    </row>
    <row r="68" ht="14.25" customHeight="1">
      <c r="A68" s="2" t="s">
        <v>30</v>
      </c>
      <c r="B68" s="2" t="s">
        <v>209</v>
      </c>
      <c r="C68" s="2" t="s">
        <v>24</v>
      </c>
      <c r="D68" s="2">
        <v>0.0</v>
      </c>
      <c r="E68" s="2">
        <v>0.0</v>
      </c>
      <c r="F68" s="2">
        <v>0.0</v>
      </c>
      <c r="G68" s="2">
        <v>0.0</v>
      </c>
      <c r="H68" s="2">
        <v>0.0</v>
      </c>
    </row>
    <row r="69" ht="14.25" customHeight="1">
      <c r="A69" s="2" t="s">
        <v>30</v>
      </c>
      <c r="B69" s="2" t="s">
        <v>209</v>
      </c>
      <c r="C69" s="2" t="s">
        <v>24</v>
      </c>
      <c r="D69" s="2">
        <v>0.0</v>
      </c>
      <c r="E69" s="2">
        <v>0.0</v>
      </c>
      <c r="F69" s="2">
        <v>0.0</v>
      </c>
      <c r="G69" s="2">
        <v>0.0</v>
      </c>
      <c r="H69" s="2">
        <v>0.0</v>
      </c>
    </row>
    <row r="70" ht="14.25" customHeight="1">
      <c r="A70" s="2" t="s">
        <v>30</v>
      </c>
      <c r="B70" s="2" t="s">
        <v>209</v>
      </c>
      <c r="C70" s="2" t="s">
        <v>25</v>
      </c>
      <c r="D70" s="2">
        <v>0.0</v>
      </c>
      <c r="E70" s="2">
        <v>0.0</v>
      </c>
      <c r="F70" s="2">
        <v>0.0</v>
      </c>
      <c r="G70" s="2">
        <v>0.0</v>
      </c>
      <c r="H70" s="2">
        <v>0.0</v>
      </c>
    </row>
    <row r="71" ht="14.25" customHeight="1">
      <c r="A71" s="2" t="s">
        <v>30</v>
      </c>
      <c r="B71" s="2" t="s">
        <v>209</v>
      </c>
      <c r="C71" s="2" t="s">
        <v>25</v>
      </c>
      <c r="D71" s="2">
        <v>0.0</v>
      </c>
      <c r="E71" s="2">
        <v>0.0</v>
      </c>
      <c r="F71" s="2">
        <v>0.0</v>
      </c>
      <c r="G71" s="2">
        <v>0.0</v>
      </c>
      <c r="H71" s="2">
        <v>0.0</v>
      </c>
    </row>
    <row r="72" ht="14.25" customHeight="1">
      <c r="A72" s="2" t="s">
        <v>30</v>
      </c>
      <c r="B72" s="2" t="s">
        <v>209</v>
      </c>
      <c r="C72" s="2" t="s">
        <v>25</v>
      </c>
      <c r="D72" s="2">
        <v>0.0</v>
      </c>
      <c r="E72" s="2">
        <v>0.0</v>
      </c>
      <c r="F72" s="2">
        <v>0.0</v>
      </c>
      <c r="G72" s="2">
        <v>0.0</v>
      </c>
      <c r="H72" s="2">
        <v>0.0</v>
      </c>
    </row>
    <row r="73" ht="14.25" customHeight="1">
      <c r="A73" s="2" t="s">
        <v>30</v>
      </c>
      <c r="B73" s="2" t="s">
        <v>209</v>
      </c>
      <c r="C73" s="2" t="s">
        <v>31</v>
      </c>
      <c r="D73" s="2">
        <v>0.0</v>
      </c>
      <c r="E73" s="2">
        <v>0.0</v>
      </c>
      <c r="F73" s="2">
        <v>0.0</v>
      </c>
      <c r="G73" s="2">
        <v>0.0</v>
      </c>
      <c r="H73" s="2">
        <v>0.0</v>
      </c>
    </row>
    <row r="74" ht="14.25" customHeight="1">
      <c r="A74" s="2" t="s">
        <v>30</v>
      </c>
      <c r="B74" s="2" t="s">
        <v>209</v>
      </c>
      <c r="C74" s="2" t="s">
        <v>31</v>
      </c>
      <c r="D74" s="2">
        <v>0.0</v>
      </c>
      <c r="E74" s="2">
        <v>0.0</v>
      </c>
      <c r="F74" s="2">
        <v>0.0</v>
      </c>
      <c r="G74" s="2">
        <v>0.0</v>
      </c>
      <c r="H74" s="2">
        <v>0.0</v>
      </c>
    </row>
    <row r="75" ht="14.25" customHeight="1">
      <c r="A75" s="2" t="s">
        <v>30</v>
      </c>
      <c r="B75" s="2" t="s">
        <v>209</v>
      </c>
      <c r="C75" s="2" t="s">
        <v>32</v>
      </c>
      <c r="D75" s="2">
        <v>0.0</v>
      </c>
      <c r="E75" s="2">
        <v>0.0</v>
      </c>
      <c r="F75" s="2">
        <v>0.0</v>
      </c>
      <c r="G75" s="2">
        <v>0.0</v>
      </c>
      <c r="H75" s="2">
        <v>0.0</v>
      </c>
    </row>
    <row r="76" ht="14.25" customHeight="1">
      <c r="A76" s="2" t="s">
        <v>30</v>
      </c>
      <c r="B76" s="2" t="s">
        <v>209</v>
      </c>
      <c r="C76" s="2" t="s">
        <v>32</v>
      </c>
      <c r="D76" s="2">
        <v>0.0</v>
      </c>
      <c r="E76" s="2">
        <v>0.0</v>
      </c>
      <c r="F76" s="2">
        <v>0.0</v>
      </c>
      <c r="G76" s="2">
        <v>0.0</v>
      </c>
      <c r="H76" s="2">
        <v>0.0</v>
      </c>
    </row>
    <row r="77" ht="14.25" customHeight="1">
      <c r="A77" s="2" t="s">
        <v>30</v>
      </c>
      <c r="B77" s="2" t="s">
        <v>209</v>
      </c>
      <c r="C77" s="2" t="s">
        <v>26</v>
      </c>
      <c r="D77" s="2">
        <v>0.0</v>
      </c>
      <c r="E77" s="2">
        <v>0.0</v>
      </c>
      <c r="F77" s="2">
        <v>0.0</v>
      </c>
      <c r="G77" s="2">
        <v>0.0</v>
      </c>
      <c r="H77" s="2">
        <v>0.0</v>
      </c>
    </row>
    <row r="78" ht="14.25" customHeight="1">
      <c r="A78" s="2" t="s">
        <v>30</v>
      </c>
      <c r="B78" s="2" t="s">
        <v>209</v>
      </c>
      <c r="C78" s="2" t="s">
        <v>33</v>
      </c>
      <c r="D78" s="2">
        <v>0.0</v>
      </c>
      <c r="E78" s="2">
        <v>0.0</v>
      </c>
      <c r="F78" s="2">
        <v>0.0</v>
      </c>
      <c r="G78" s="2">
        <v>0.0</v>
      </c>
      <c r="H78" s="2">
        <v>0.0</v>
      </c>
    </row>
    <row r="79" ht="14.25" customHeight="1">
      <c r="A79" s="2" t="s">
        <v>30</v>
      </c>
      <c r="B79" s="2" t="s">
        <v>23</v>
      </c>
      <c r="C79" s="2" t="s">
        <v>10</v>
      </c>
      <c r="D79" s="2">
        <v>2603.220999195563</v>
      </c>
      <c r="E79" s="2">
        <v>5.016405669804</v>
      </c>
      <c r="F79" s="2">
        <v>67691.37425551188</v>
      </c>
      <c r="G79" s="2">
        <v>23.2183738142053</v>
      </c>
      <c r="H79" s="2">
        <v>0.3452755735231996</v>
      </c>
    </row>
    <row r="80" ht="14.25" customHeight="1">
      <c r="A80" s="2" t="s">
        <v>30</v>
      </c>
      <c r="B80" s="2" t="s">
        <v>29</v>
      </c>
      <c r="C80" s="2" t="s">
        <v>34</v>
      </c>
      <c r="D80" s="2">
        <v>1105.27896314808</v>
      </c>
      <c r="E80" s="2">
        <v>1.4074332132</v>
      </c>
      <c r="F80" s="2">
        <v>28429.99024610976</v>
      </c>
      <c r="G80" s="2">
        <v>8.12332904964</v>
      </c>
      <c r="H80" s="2">
        <v>0.14951531985348</v>
      </c>
    </row>
    <row r="81" ht="14.25" customHeight="1">
      <c r="A81" s="2" t="s">
        <v>30</v>
      </c>
      <c r="B81" s="2" t="s">
        <v>29</v>
      </c>
      <c r="C81" s="2" t="s">
        <v>35</v>
      </c>
      <c r="D81" s="2">
        <v>69.10143615872</v>
      </c>
      <c r="E81" s="2">
        <v>0.2353874208</v>
      </c>
      <c r="F81" s="2">
        <v>1396.96102893984</v>
      </c>
      <c r="G81" s="2">
        <v>0.89029187576</v>
      </c>
      <c r="H81" s="2">
        <v>0.00172624390232</v>
      </c>
    </row>
    <row r="82" ht="14.25" customHeight="1">
      <c r="A82" s="2" t="s">
        <v>30</v>
      </c>
      <c r="B82" s="2" t="s">
        <v>29</v>
      </c>
      <c r="C82" s="2" t="s">
        <v>35</v>
      </c>
      <c r="D82" s="2">
        <v>27.14699277664</v>
      </c>
      <c r="E82" s="2">
        <v>0.0924736296</v>
      </c>
      <c r="F82" s="2">
        <v>548.80611851208</v>
      </c>
      <c r="G82" s="2">
        <v>0.34975752262</v>
      </c>
      <c r="H82" s="2">
        <v>6.7816724734E-4</v>
      </c>
    </row>
    <row r="83" ht="14.25" customHeight="1">
      <c r="A83" s="2" t="s">
        <v>30</v>
      </c>
      <c r="B83" s="2" t="s">
        <v>29</v>
      </c>
      <c r="C83" s="2" t="s">
        <v>35</v>
      </c>
      <c r="D83" s="2">
        <v>27.903618697984</v>
      </c>
      <c r="E83" s="2">
        <v>0.11153565216</v>
      </c>
      <c r="F83" s="2">
        <v>538.736283541248</v>
      </c>
      <c r="G83" s="2">
        <v>0.334503107072</v>
      </c>
      <c r="H83" s="2">
        <v>6.60052747904E-4</v>
      </c>
    </row>
    <row r="84" ht="14.25" customHeight="1">
      <c r="A84" s="2" t="s">
        <v>30</v>
      </c>
      <c r="B84" s="2" t="s">
        <v>29</v>
      </c>
      <c r="C84" s="2" t="s">
        <v>36</v>
      </c>
      <c r="D84" s="2">
        <v>0.2748200598</v>
      </c>
      <c r="E84" s="2">
        <v>7.085205E-5</v>
      </c>
      <c r="F84" s="2">
        <v>4.38652350225</v>
      </c>
      <c r="G84" s="2">
        <v>0.006861503475</v>
      </c>
      <c r="H84" s="2">
        <v>7.360875E-5</v>
      </c>
    </row>
    <row r="85" ht="14.25" customHeight="1">
      <c r="A85" s="2" t="s">
        <v>30</v>
      </c>
      <c r="B85" s="2" t="s">
        <v>210</v>
      </c>
      <c r="C85" s="2" t="s">
        <v>34</v>
      </c>
      <c r="D85" s="2">
        <v>0.0</v>
      </c>
      <c r="E85" s="2">
        <v>0.0</v>
      </c>
      <c r="F85" s="2">
        <v>0.0</v>
      </c>
      <c r="G85" s="2">
        <v>0.0</v>
      </c>
      <c r="H85" s="2">
        <v>0.0</v>
      </c>
    </row>
    <row r="86" ht="14.25" customHeight="1">
      <c r="A86" s="2" t="s">
        <v>30</v>
      </c>
      <c r="B86" s="2" t="s">
        <v>210</v>
      </c>
      <c r="C86" s="2" t="s">
        <v>35</v>
      </c>
      <c r="D86" s="2">
        <v>0.0</v>
      </c>
      <c r="E86" s="2">
        <v>0.0</v>
      </c>
      <c r="F86" s="2">
        <v>0.0</v>
      </c>
      <c r="G86" s="2">
        <v>0.0</v>
      </c>
      <c r="H86" s="2">
        <v>0.0</v>
      </c>
    </row>
    <row r="87" ht="14.25" customHeight="1">
      <c r="A87" s="2" t="s">
        <v>30</v>
      </c>
      <c r="B87" s="2" t="s">
        <v>210</v>
      </c>
      <c r="C87" s="2" t="s">
        <v>35</v>
      </c>
      <c r="D87" s="2">
        <v>0.0</v>
      </c>
      <c r="E87" s="2">
        <v>0.0</v>
      </c>
      <c r="F87" s="2">
        <v>0.0</v>
      </c>
      <c r="G87" s="2">
        <v>0.0</v>
      </c>
      <c r="H87" s="2">
        <v>0.0</v>
      </c>
    </row>
    <row r="88" ht="14.25" customHeight="1">
      <c r="A88" s="2" t="s">
        <v>30</v>
      </c>
      <c r="B88" s="2" t="s">
        <v>210</v>
      </c>
      <c r="C88" s="2" t="s">
        <v>35</v>
      </c>
      <c r="D88" s="2">
        <v>0.0</v>
      </c>
      <c r="E88" s="2">
        <v>0.0</v>
      </c>
      <c r="F88" s="2">
        <v>0.0</v>
      </c>
      <c r="G88" s="2">
        <v>0.0</v>
      </c>
      <c r="H88" s="2">
        <v>0.0</v>
      </c>
    </row>
    <row r="89" ht="14.25" customHeight="1">
      <c r="A89" s="2" t="s">
        <v>30</v>
      </c>
      <c r="B89" s="2" t="s">
        <v>210</v>
      </c>
      <c r="C89" s="2" t="s">
        <v>36</v>
      </c>
      <c r="D89" s="2">
        <v>0.0</v>
      </c>
      <c r="E89" s="2">
        <v>0.0</v>
      </c>
      <c r="F89" s="2">
        <v>0.0</v>
      </c>
      <c r="G89" s="2">
        <v>0.0</v>
      </c>
      <c r="H89" s="2">
        <v>0.0</v>
      </c>
    </row>
    <row r="90" ht="14.25" customHeight="1">
      <c r="A90" s="2" t="s">
        <v>30</v>
      </c>
      <c r="B90" s="2" t="s">
        <v>29</v>
      </c>
      <c r="C90" s="2" t="s">
        <v>10</v>
      </c>
      <c r="D90" s="2">
        <v>1229.705830841224</v>
      </c>
      <c r="E90" s="2">
        <v>1.84690076781</v>
      </c>
      <c r="F90" s="2">
        <v>30918.88020060518</v>
      </c>
      <c r="G90" s="2">
        <v>9.704743058567</v>
      </c>
      <c r="H90" s="2">
        <v>0.152653392501044</v>
      </c>
    </row>
    <row r="91" ht="14.25" customHeight="1">
      <c r="A91" s="2" t="s">
        <v>30</v>
      </c>
      <c r="B91" s="2" t="s">
        <v>18</v>
      </c>
      <c r="C91" s="2" t="s">
        <v>10</v>
      </c>
      <c r="D91" s="2">
        <v>0.0</v>
      </c>
      <c r="E91" s="2">
        <v>0.0</v>
      </c>
      <c r="F91" s="2">
        <v>0.0</v>
      </c>
      <c r="G91" s="2">
        <v>0.0</v>
      </c>
      <c r="H91" s="2">
        <v>0.0</v>
      </c>
    </row>
    <row r="92" ht="14.25" customHeight="1">
      <c r="A92" s="2" t="s">
        <v>37</v>
      </c>
      <c r="B92" s="2" t="s">
        <v>38</v>
      </c>
      <c r="C92" s="2" t="s">
        <v>39</v>
      </c>
      <c r="D92" s="2">
        <v>399.6113584306162</v>
      </c>
      <c r="E92" s="2">
        <v>18.73673376654662</v>
      </c>
      <c r="F92" s="2">
        <v>6697.818478841376</v>
      </c>
      <c r="G92" s="2">
        <v>5.7400651356576</v>
      </c>
      <c r="H92" s="2">
        <v>0.04527934868436408</v>
      </c>
    </row>
    <row r="93" ht="14.25" customHeight="1">
      <c r="A93" s="2" t="s">
        <v>37</v>
      </c>
      <c r="B93" s="2" t="s">
        <v>38</v>
      </c>
      <c r="C93" s="2" t="s">
        <v>16</v>
      </c>
      <c r="D93" s="2">
        <v>65.54873227392</v>
      </c>
      <c r="E93" s="2">
        <v>0.8614479384</v>
      </c>
      <c r="F93" s="2">
        <v>1710.82013664744</v>
      </c>
      <c r="G93" s="2">
        <v>8.56362157583436</v>
      </c>
      <c r="H93" s="2">
        <v>0.76442511776337</v>
      </c>
    </row>
    <row r="94" ht="14.25" customHeight="1">
      <c r="A94" s="2" t="s">
        <v>37</v>
      </c>
      <c r="B94" s="2" t="s">
        <v>38</v>
      </c>
      <c r="C94" s="2" t="s">
        <v>17</v>
      </c>
      <c r="D94" s="2">
        <v>20.70863478</v>
      </c>
      <c r="E94" s="2">
        <v>0.0503302926</v>
      </c>
      <c r="F94" s="2">
        <v>550.12268531</v>
      </c>
      <c r="G94" s="2">
        <v>0.4031543185</v>
      </c>
      <c r="H94" s="2">
        <v>0.001526500246</v>
      </c>
    </row>
    <row r="95" ht="14.25" customHeight="1">
      <c r="A95" s="2" t="s">
        <v>37</v>
      </c>
      <c r="B95" s="2" t="s">
        <v>211</v>
      </c>
      <c r="C95" s="2" t="s">
        <v>39</v>
      </c>
      <c r="D95" s="2">
        <v>0.0</v>
      </c>
      <c r="E95" s="2">
        <v>0.0</v>
      </c>
      <c r="F95" s="2">
        <v>0.0</v>
      </c>
      <c r="G95" s="2">
        <v>0.0</v>
      </c>
      <c r="H95" s="2">
        <v>0.0</v>
      </c>
    </row>
    <row r="96" ht="14.25" customHeight="1">
      <c r="A96" s="2" t="s">
        <v>37</v>
      </c>
      <c r="B96" s="2" t="s">
        <v>211</v>
      </c>
      <c r="C96" s="2" t="s">
        <v>16</v>
      </c>
      <c r="D96" s="2">
        <v>0.0</v>
      </c>
      <c r="E96" s="2">
        <v>0.0</v>
      </c>
      <c r="F96" s="2">
        <v>0.0</v>
      </c>
      <c r="G96" s="2">
        <v>0.0</v>
      </c>
      <c r="H96" s="2">
        <v>0.0</v>
      </c>
    </row>
    <row r="97" ht="14.25" customHeight="1">
      <c r="A97" s="2" t="s">
        <v>37</v>
      </c>
      <c r="B97" s="2" t="s">
        <v>211</v>
      </c>
      <c r="C97" s="2" t="s">
        <v>17</v>
      </c>
      <c r="D97" s="2">
        <v>0.0</v>
      </c>
      <c r="E97" s="2">
        <v>0.0</v>
      </c>
      <c r="F97" s="2">
        <v>0.0</v>
      </c>
      <c r="G97" s="2">
        <v>0.0</v>
      </c>
      <c r="H97" s="2">
        <v>0.0</v>
      </c>
    </row>
    <row r="98" ht="14.25" customHeight="1">
      <c r="A98" s="2" t="s">
        <v>37</v>
      </c>
      <c r="B98" s="2" t="s">
        <v>38</v>
      </c>
      <c r="C98" s="2" t="s">
        <v>10</v>
      </c>
      <c r="D98" s="2">
        <v>485.8687254845362</v>
      </c>
      <c r="E98" s="2">
        <v>19.64851199754662</v>
      </c>
      <c r="F98" s="2">
        <v>8958.761300798815</v>
      </c>
      <c r="G98" s="2">
        <v>14.70684102999196</v>
      </c>
      <c r="H98" s="2">
        <v>0.8112309666937341</v>
      </c>
    </row>
    <row r="99" ht="14.25" customHeight="1">
      <c r="A99" s="2" t="s">
        <v>37</v>
      </c>
      <c r="B99" s="2" t="s">
        <v>18</v>
      </c>
      <c r="C99" s="2" t="s">
        <v>10</v>
      </c>
      <c r="D99" s="2">
        <v>0.0</v>
      </c>
      <c r="E99" s="2">
        <v>0.0</v>
      </c>
      <c r="F99" s="2">
        <v>0.0</v>
      </c>
      <c r="G99" s="2">
        <v>0.0</v>
      </c>
      <c r="H99" s="2">
        <v>0.0</v>
      </c>
    </row>
    <row r="100" ht="14.25" customHeight="1">
      <c r="A100" s="2" t="s">
        <v>40</v>
      </c>
      <c r="B100" s="2" t="s">
        <v>21</v>
      </c>
      <c r="C100" s="2" t="s">
        <v>41</v>
      </c>
      <c r="D100" s="2">
        <v>223.714769808</v>
      </c>
      <c r="E100" s="2">
        <v>0.82884112</v>
      </c>
      <c r="F100" s="2">
        <v>9697.008612976</v>
      </c>
      <c r="G100" s="2">
        <v>2.710204364</v>
      </c>
      <c r="H100" s="2">
        <v>0.006084165598</v>
      </c>
    </row>
    <row r="101" ht="14.25" customHeight="1">
      <c r="A101" s="2" t="s">
        <v>40</v>
      </c>
      <c r="B101" s="2" t="s">
        <v>21</v>
      </c>
      <c r="C101" s="2" t="s">
        <v>42</v>
      </c>
      <c r="D101" s="2">
        <v>0.0</v>
      </c>
      <c r="E101" s="2">
        <v>0.0</v>
      </c>
      <c r="F101" s="2">
        <v>0.0</v>
      </c>
      <c r="G101" s="2">
        <v>0.0</v>
      </c>
      <c r="H101" s="2">
        <v>0.0</v>
      </c>
    </row>
    <row r="102" ht="14.25" customHeight="1">
      <c r="A102" s="2" t="s">
        <v>40</v>
      </c>
      <c r="B102" s="2" t="s">
        <v>21</v>
      </c>
      <c r="C102" s="2" t="s">
        <v>43</v>
      </c>
      <c r="D102" s="2">
        <v>0.0</v>
      </c>
      <c r="E102" s="2">
        <v>0.0</v>
      </c>
      <c r="F102" s="2">
        <v>0.0</v>
      </c>
      <c r="G102" s="2">
        <v>0.0</v>
      </c>
      <c r="H102" s="2">
        <v>0.0</v>
      </c>
    </row>
    <row r="103" ht="14.25" customHeight="1">
      <c r="A103" s="2" t="s">
        <v>40</v>
      </c>
      <c r="B103" s="2" t="s">
        <v>21</v>
      </c>
      <c r="C103" s="2" t="s">
        <v>44</v>
      </c>
      <c r="D103" s="2">
        <v>9.73775040966</v>
      </c>
      <c r="E103" s="2">
        <v>0.12896525754</v>
      </c>
      <c r="F103" s="2">
        <v>255.045901068</v>
      </c>
      <c r="G103" s="2">
        <v>1.28204046432</v>
      </c>
      <c r="H103" s="2">
        <v>0.11466315882</v>
      </c>
    </row>
    <row r="104" ht="14.25" customHeight="1">
      <c r="A104" s="2" t="s">
        <v>40</v>
      </c>
      <c r="B104" s="2" t="s">
        <v>21</v>
      </c>
      <c r="C104" s="2" t="s">
        <v>45</v>
      </c>
      <c r="D104" s="2">
        <v>2.202087078</v>
      </c>
      <c r="E104" s="2">
        <v>0.0093963374925</v>
      </c>
      <c r="F104" s="2">
        <v>100.73679437895</v>
      </c>
      <c r="G104" s="2">
        <v>0.0657364863</v>
      </c>
      <c r="H104" s="2">
        <v>9.6994341E-5</v>
      </c>
    </row>
    <row r="105" ht="14.25" customHeight="1">
      <c r="A105" s="2" t="s">
        <v>40</v>
      </c>
      <c r="B105" s="2" t="s">
        <v>212</v>
      </c>
      <c r="C105" s="2" t="s">
        <v>41</v>
      </c>
      <c r="D105" s="2">
        <v>0.0</v>
      </c>
      <c r="E105" s="2">
        <v>0.0</v>
      </c>
      <c r="F105" s="2">
        <v>0.0</v>
      </c>
      <c r="G105" s="2">
        <v>0.0</v>
      </c>
      <c r="H105" s="2">
        <v>0.0</v>
      </c>
    </row>
    <row r="106" ht="14.25" customHeight="1">
      <c r="A106" s="2" t="s">
        <v>40</v>
      </c>
      <c r="B106" s="2" t="s">
        <v>212</v>
      </c>
      <c r="C106" s="2" t="s">
        <v>42</v>
      </c>
      <c r="D106" s="2">
        <v>0.0</v>
      </c>
      <c r="E106" s="2">
        <v>0.0</v>
      </c>
      <c r="F106" s="2">
        <v>0.0</v>
      </c>
      <c r="G106" s="2">
        <v>0.0</v>
      </c>
      <c r="H106" s="2">
        <v>0.0</v>
      </c>
    </row>
    <row r="107" ht="14.25" customHeight="1">
      <c r="A107" s="2" t="s">
        <v>40</v>
      </c>
      <c r="B107" s="2" t="s">
        <v>212</v>
      </c>
      <c r="C107" s="2" t="s">
        <v>43</v>
      </c>
      <c r="D107" s="2">
        <v>0.0</v>
      </c>
      <c r="E107" s="2">
        <v>0.0</v>
      </c>
      <c r="F107" s="2">
        <v>0.0</v>
      </c>
      <c r="G107" s="2">
        <v>0.0</v>
      </c>
      <c r="H107" s="2">
        <v>0.0</v>
      </c>
    </row>
    <row r="108" ht="14.25" customHeight="1">
      <c r="A108" s="2" t="s">
        <v>40</v>
      </c>
      <c r="B108" s="2" t="s">
        <v>212</v>
      </c>
      <c r="C108" s="2" t="s">
        <v>44</v>
      </c>
      <c r="D108" s="2">
        <v>0.0</v>
      </c>
      <c r="E108" s="2">
        <v>0.0</v>
      </c>
      <c r="F108" s="2">
        <v>0.0</v>
      </c>
      <c r="G108" s="2">
        <v>0.0</v>
      </c>
      <c r="H108" s="2">
        <v>0.0</v>
      </c>
    </row>
    <row r="109" ht="14.25" customHeight="1">
      <c r="A109" s="2" t="s">
        <v>40</v>
      </c>
      <c r="B109" s="2" t="s">
        <v>212</v>
      </c>
      <c r="C109" s="2" t="s">
        <v>45</v>
      </c>
      <c r="D109" s="2">
        <v>0.0</v>
      </c>
      <c r="E109" s="2">
        <v>0.0</v>
      </c>
      <c r="F109" s="2">
        <v>0.0</v>
      </c>
      <c r="G109" s="2">
        <v>0.0</v>
      </c>
      <c r="H109" s="2">
        <v>0.0</v>
      </c>
    </row>
    <row r="110" ht="14.25" customHeight="1">
      <c r="A110" s="2" t="s">
        <v>40</v>
      </c>
      <c r="B110" s="2" t="s">
        <v>21</v>
      </c>
      <c r="C110" s="2" t="s">
        <v>10</v>
      </c>
      <c r="D110" s="2">
        <v>235.65460729566</v>
      </c>
      <c r="E110" s="2">
        <v>0.9672027150325</v>
      </c>
      <c r="F110" s="2">
        <v>10052.79130842295</v>
      </c>
      <c r="G110" s="2">
        <v>4.05798131462</v>
      </c>
      <c r="H110" s="2">
        <v>0.120844318759</v>
      </c>
    </row>
    <row r="111" ht="14.25" customHeight="1">
      <c r="A111" s="2" t="s">
        <v>40</v>
      </c>
      <c r="B111" s="2" t="s">
        <v>22</v>
      </c>
      <c r="C111" s="2" t="s">
        <v>10</v>
      </c>
      <c r="D111" s="2">
        <v>0.0</v>
      </c>
      <c r="E111" s="2">
        <v>0.0</v>
      </c>
      <c r="F111" s="2">
        <v>0.0</v>
      </c>
      <c r="G111" s="2">
        <v>0.0</v>
      </c>
      <c r="H111" s="2">
        <v>0.0</v>
      </c>
    </row>
    <row r="112" ht="14.25" customHeight="1">
      <c r="A112" s="2" t="s">
        <v>40</v>
      </c>
      <c r="B112" s="2" t="s">
        <v>23</v>
      </c>
      <c r="C112" s="2" t="s">
        <v>24</v>
      </c>
      <c r="D112" s="2">
        <v>1330.595151719</v>
      </c>
      <c r="E112" s="2">
        <v>1.8973677689</v>
      </c>
      <c r="F112" s="2">
        <v>37182.309057702</v>
      </c>
      <c r="G112" s="2">
        <v>11.787917152</v>
      </c>
      <c r="H112" s="2">
        <v>0.2194869921306</v>
      </c>
    </row>
    <row r="113" ht="14.25" customHeight="1">
      <c r="A113" s="2" t="s">
        <v>40</v>
      </c>
      <c r="B113" s="2" t="s">
        <v>23</v>
      </c>
      <c r="C113" s="2" t="s">
        <v>24</v>
      </c>
      <c r="D113" s="2">
        <v>137.3517575968</v>
      </c>
      <c r="E113" s="2">
        <v>0.19585731808</v>
      </c>
      <c r="F113" s="2">
        <v>3838.1738382144</v>
      </c>
      <c r="G113" s="2">
        <v>1.2168172544</v>
      </c>
      <c r="H113" s="2">
        <v>0.02265672176832</v>
      </c>
    </row>
    <row r="114" ht="14.25" customHeight="1">
      <c r="A114" s="2" t="s">
        <v>40</v>
      </c>
      <c r="B114" s="2" t="s">
        <v>23</v>
      </c>
      <c r="C114" s="2" t="s">
        <v>25</v>
      </c>
      <c r="D114" s="2">
        <v>59.031957828</v>
      </c>
      <c r="E114" s="2">
        <v>0.2009404908</v>
      </c>
      <c r="F114" s="2">
        <v>1190.268536904</v>
      </c>
      <c r="G114" s="2">
        <v>0.761290284</v>
      </c>
      <c r="H114" s="2">
        <v>0.0014754666312</v>
      </c>
    </row>
    <row r="115" ht="14.25" customHeight="1">
      <c r="A115" s="2" t="s">
        <v>40</v>
      </c>
      <c r="B115" s="2" t="s">
        <v>23</v>
      </c>
      <c r="C115" s="2" t="s">
        <v>25</v>
      </c>
      <c r="D115" s="2">
        <v>1.96670756131</v>
      </c>
      <c r="E115" s="2">
        <v>0.0056937402085</v>
      </c>
      <c r="F115" s="2">
        <v>48.70992375448385</v>
      </c>
      <c r="G115" s="2">
        <v>0.0252240758155</v>
      </c>
      <c r="H115" s="2">
        <v>4.75883710825E-5</v>
      </c>
    </row>
    <row r="116" ht="14.25" customHeight="1">
      <c r="A116" s="2" t="s">
        <v>40</v>
      </c>
      <c r="B116" s="2" t="s">
        <v>23</v>
      </c>
      <c r="C116" s="2" t="s">
        <v>25</v>
      </c>
      <c r="D116" s="2">
        <v>4.3368689580408</v>
      </c>
      <c r="E116" s="2">
        <v>0.014851322892</v>
      </c>
      <c r="F116" s="2">
        <v>88.0472759251176</v>
      </c>
      <c r="G116" s="2">
        <v>0.0570331705914</v>
      </c>
      <c r="H116" s="2">
        <v>1.102943955573E-4</v>
      </c>
    </row>
    <row r="117" ht="14.25" customHeight="1">
      <c r="A117" s="2" t="s">
        <v>40</v>
      </c>
      <c r="B117" s="2" t="s">
        <v>23</v>
      </c>
      <c r="C117" s="2" t="s">
        <v>25</v>
      </c>
      <c r="D117" s="2">
        <v>1.3515535146848</v>
      </c>
      <c r="E117" s="2">
        <v>0.005460546752</v>
      </c>
      <c r="F117" s="2">
        <v>26.2091696573856</v>
      </c>
      <c r="G117" s="2">
        <v>0.0166423946184</v>
      </c>
      <c r="H117" s="2">
        <v>3.27217313588E-5</v>
      </c>
    </row>
    <row r="118" ht="14.25" customHeight="1">
      <c r="A118" s="2" t="s">
        <v>40</v>
      </c>
      <c r="B118" s="2" t="s">
        <v>23</v>
      </c>
      <c r="C118" s="2" t="s">
        <v>31</v>
      </c>
      <c r="D118" s="2">
        <v>8.28178288904</v>
      </c>
      <c r="E118" s="2">
        <v>0.1784114576</v>
      </c>
      <c r="F118" s="2">
        <v>224.40785514488</v>
      </c>
      <c r="G118" s="2">
        <v>0.12278808382</v>
      </c>
      <c r="H118" s="2">
        <v>2.5126442799E-4</v>
      </c>
    </row>
    <row r="119" ht="14.25" customHeight="1">
      <c r="A119" s="2" t="s">
        <v>40</v>
      </c>
      <c r="B119" s="2" t="s">
        <v>23</v>
      </c>
      <c r="C119" s="2" t="s">
        <v>32</v>
      </c>
      <c r="D119" s="2">
        <v>20.098946916</v>
      </c>
      <c r="E119" s="2">
        <v>0.0625206468</v>
      </c>
      <c r="F119" s="2">
        <v>517.344728064</v>
      </c>
      <c r="G119" s="2">
        <v>0.324936864</v>
      </c>
      <c r="H119" s="2">
        <v>0.0015721986312</v>
      </c>
    </row>
    <row r="120" ht="14.25" customHeight="1">
      <c r="A120" s="2" t="s">
        <v>40</v>
      </c>
      <c r="B120" s="2" t="s">
        <v>23</v>
      </c>
      <c r="C120" s="2" t="s">
        <v>26</v>
      </c>
      <c r="D120" s="2">
        <v>419.006328411</v>
      </c>
      <c r="E120" s="2">
        <v>1.0423932508125</v>
      </c>
      <c r="F120" s="2">
        <v>9959.93423410875</v>
      </c>
      <c r="G120" s="2">
        <v>7.204091536875</v>
      </c>
      <c r="H120" s="2">
        <v>0.028023808275</v>
      </c>
    </row>
    <row r="121" ht="14.25" customHeight="1">
      <c r="A121" s="2" t="s">
        <v>40</v>
      </c>
      <c r="B121" s="2" t="s">
        <v>23</v>
      </c>
      <c r="C121" s="2" t="s">
        <v>46</v>
      </c>
      <c r="D121" s="2">
        <v>3.8741801</v>
      </c>
      <c r="E121" s="2">
        <v>0.00889868</v>
      </c>
      <c r="F121" s="2">
        <v>117.9830291</v>
      </c>
      <c r="G121" s="2">
        <v>0.01903546</v>
      </c>
      <c r="H121" s="2">
        <v>1.00392E-4</v>
      </c>
    </row>
    <row r="122" ht="14.25" customHeight="1">
      <c r="A122" s="2" t="s">
        <v>40</v>
      </c>
      <c r="B122" s="2" t="s">
        <v>23</v>
      </c>
      <c r="C122" s="2" t="s">
        <v>33</v>
      </c>
      <c r="D122" s="2">
        <v>105.881342133</v>
      </c>
      <c r="E122" s="2">
        <v>0.2432009244</v>
      </c>
      <c r="F122" s="2">
        <v>3224.476185303</v>
      </c>
      <c r="G122" s="2">
        <v>0.5202391218</v>
      </c>
      <c r="H122" s="2">
        <v>0.00274371336</v>
      </c>
    </row>
    <row r="123" ht="14.25" customHeight="1">
      <c r="A123" s="2" t="s">
        <v>40</v>
      </c>
      <c r="B123" s="2" t="s">
        <v>23</v>
      </c>
      <c r="C123" s="2" t="s">
        <v>27</v>
      </c>
      <c r="D123" s="2">
        <v>324.591680322</v>
      </c>
      <c r="E123" s="2">
        <v>4.298841918</v>
      </c>
      <c r="F123" s="2">
        <v>8501.5300356</v>
      </c>
      <c r="G123" s="2">
        <v>42.7568268422484</v>
      </c>
      <c r="H123" s="2">
        <v>3.822105294</v>
      </c>
    </row>
    <row r="124" ht="14.25" customHeight="1">
      <c r="A124" s="2" t="s">
        <v>40</v>
      </c>
      <c r="B124" s="2" t="s">
        <v>23</v>
      </c>
      <c r="C124" s="2" t="s">
        <v>28</v>
      </c>
      <c r="D124" s="2">
        <v>73.4029026</v>
      </c>
      <c r="E124" s="2">
        <v>0.31321124975</v>
      </c>
      <c r="F124" s="2">
        <v>3357.893145965</v>
      </c>
      <c r="G124" s="2">
        <v>2.19121621</v>
      </c>
      <c r="H124" s="2">
        <v>0.0032331447</v>
      </c>
    </row>
    <row r="125" ht="14.25" customHeight="1">
      <c r="A125" s="2" t="s">
        <v>40</v>
      </c>
      <c r="B125" s="2" t="s">
        <v>209</v>
      </c>
      <c r="C125" s="2" t="s">
        <v>24</v>
      </c>
      <c r="D125" s="2">
        <v>0.0</v>
      </c>
      <c r="E125" s="2">
        <v>0.0</v>
      </c>
      <c r="F125" s="2">
        <v>0.0</v>
      </c>
      <c r="G125" s="2">
        <v>0.0</v>
      </c>
      <c r="H125" s="2">
        <v>0.0</v>
      </c>
    </row>
    <row r="126" ht="14.25" customHeight="1">
      <c r="A126" s="2" t="s">
        <v>40</v>
      </c>
      <c r="B126" s="2" t="s">
        <v>209</v>
      </c>
      <c r="C126" s="2" t="s">
        <v>24</v>
      </c>
      <c r="D126" s="2">
        <v>0.0</v>
      </c>
      <c r="E126" s="2">
        <v>0.0</v>
      </c>
      <c r="F126" s="2">
        <v>0.0</v>
      </c>
      <c r="G126" s="2">
        <v>0.0</v>
      </c>
      <c r="H126" s="2">
        <v>0.0</v>
      </c>
    </row>
    <row r="127" ht="14.25" customHeight="1">
      <c r="A127" s="2" t="s">
        <v>40</v>
      </c>
      <c r="B127" s="2" t="s">
        <v>209</v>
      </c>
      <c r="C127" s="2" t="s">
        <v>25</v>
      </c>
      <c r="D127" s="2">
        <v>0.0</v>
      </c>
      <c r="E127" s="2">
        <v>0.0</v>
      </c>
      <c r="F127" s="2">
        <v>0.0</v>
      </c>
      <c r="G127" s="2">
        <v>0.0</v>
      </c>
      <c r="H127" s="2">
        <v>0.0</v>
      </c>
    </row>
    <row r="128" ht="14.25" customHeight="1">
      <c r="A128" s="2" t="s">
        <v>40</v>
      </c>
      <c r="B128" s="2" t="s">
        <v>209</v>
      </c>
      <c r="C128" s="2" t="s">
        <v>25</v>
      </c>
      <c r="D128" s="2">
        <v>0.0</v>
      </c>
      <c r="E128" s="2">
        <v>0.0</v>
      </c>
      <c r="F128" s="2">
        <v>0.0</v>
      </c>
      <c r="G128" s="2">
        <v>0.0</v>
      </c>
      <c r="H128" s="2">
        <v>0.0</v>
      </c>
    </row>
    <row r="129" ht="14.25" customHeight="1">
      <c r="A129" s="2" t="s">
        <v>40</v>
      </c>
      <c r="B129" s="2" t="s">
        <v>209</v>
      </c>
      <c r="C129" s="2" t="s">
        <v>25</v>
      </c>
      <c r="D129" s="2">
        <v>0.0</v>
      </c>
      <c r="E129" s="2">
        <v>0.0</v>
      </c>
      <c r="F129" s="2">
        <v>0.0</v>
      </c>
      <c r="G129" s="2">
        <v>0.0</v>
      </c>
      <c r="H129" s="2">
        <v>0.0</v>
      </c>
    </row>
    <row r="130" ht="14.25" customHeight="1">
      <c r="A130" s="2" t="s">
        <v>40</v>
      </c>
      <c r="B130" s="2" t="s">
        <v>209</v>
      </c>
      <c r="C130" s="2" t="s">
        <v>25</v>
      </c>
      <c r="D130" s="2">
        <v>0.0</v>
      </c>
      <c r="E130" s="2">
        <v>0.0</v>
      </c>
      <c r="F130" s="2">
        <v>0.0</v>
      </c>
      <c r="G130" s="2">
        <v>0.0</v>
      </c>
      <c r="H130" s="2">
        <v>0.0</v>
      </c>
    </row>
    <row r="131" ht="14.25" customHeight="1">
      <c r="A131" s="2" t="s">
        <v>40</v>
      </c>
      <c r="B131" s="2" t="s">
        <v>209</v>
      </c>
      <c r="C131" s="2" t="s">
        <v>31</v>
      </c>
      <c r="D131" s="2">
        <v>0.0</v>
      </c>
      <c r="E131" s="2">
        <v>0.0</v>
      </c>
      <c r="F131" s="2">
        <v>0.0</v>
      </c>
      <c r="G131" s="2">
        <v>0.0</v>
      </c>
      <c r="H131" s="2">
        <v>0.0</v>
      </c>
    </row>
    <row r="132" ht="14.25" customHeight="1">
      <c r="A132" s="2" t="s">
        <v>40</v>
      </c>
      <c r="B132" s="2" t="s">
        <v>209</v>
      </c>
      <c r="C132" s="2" t="s">
        <v>32</v>
      </c>
      <c r="D132" s="2">
        <v>0.0</v>
      </c>
      <c r="E132" s="2">
        <v>0.0</v>
      </c>
      <c r="F132" s="2">
        <v>0.0</v>
      </c>
      <c r="G132" s="2">
        <v>0.0</v>
      </c>
      <c r="H132" s="2">
        <v>0.0</v>
      </c>
    </row>
    <row r="133" ht="14.25" customHeight="1">
      <c r="A133" s="2" t="s">
        <v>40</v>
      </c>
      <c r="B133" s="2" t="s">
        <v>209</v>
      </c>
      <c r="C133" s="2" t="s">
        <v>26</v>
      </c>
      <c r="D133" s="2">
        <v>0.0</v>
      </c>
      <c r="E133" s="2">
        <v>0.0</v>
      </c>
      <c r="F133" s="2">
        <v>0.0</v>
      </c>
      <c r="G133" s="2">
        <v>0.0</v>
      </c>
      <c r="H133" s="2">
        <v>0.0</v>
      </c>
    </row>
    <row r="134" ht="14.25" customHeight="1">
      <c r="A134" s="2" t="s">
        <v>40</v>
      </c>
      <c r="B134" s="2" t="s">
        <v>209</v>
      </c>
      <c r="C134" s="2" t="s">
        <v>46</v>
      </c>
      <c r="D134" s="2">
        <v>0.0</v>
      </c>
      <c r="E134" s="2">
        <v>0.0</v>
      </c>
      <c r="F134" s="2">
        <v>0.0</v>
      </c>
      <c r="G134" s="2">
        <v>0.0</v>
      </c>
      <c r="H134" s="2">
        <v>0.0</v>
      </c>
    </row>
    <row r="135" ht="14.25" customHeight="1">
      <c r="A135" s="2" t="s">
        <v>40</v>
      </c>
      <c r="B135" s="2" t="s">
        <v>209</v>
      </c>
      <c r="C135" s="2" t="s">
        <v>33</v>
      </c>
      <c r="D135" s="2">
        <v>0.0</v>
      </c>
      <c r="E135" s="2">
        <v>0.0</v>
      </c>
      <c r="F135" s="2">
        <v>0.0</v>
      </c>
      <c r="G135" s="2">
        <v>0.0</v>
      </c>
      <c r="H135" s="2">
        <v>0.0</v>
      </c>
    </row>
    <row r="136" ht="14.25" customHeight="1">
      <c r="A136" s="2" t="s">
        <v>40</v>
      </c>
      <c r="B136" s="2" t="s">
        <v>209</v>
      </c>
      <c r="C136" s="2" t="s">
        <v>27</v>
      </c>
      <c r="D136" s="2">
        <v>0.0</v>
      </c>
      <c r="E136" s="2">
        <v>0.0</v>
      </c>
      <c r="F136" s="2">
        <v>0.0</v>
      </c>
      <c r="G136" s="2">
        <v>0.0</v>
      </c>
      <c r="H136" s="2">
        <v>0.0</v>
      </c>
    </row>
    <row r="137" ht="14.25" customHeight="1">
      <c r="A137" s="2" t="s">
        <v>40</v>
      </c>
      <c r="B137" s="2" t="s">
        <v>209</v>
      </c>
      <c r="C137" s="2" t="s">
        <v>28</v>
      </c>
      <c r="D137" s="2">
        <v>0.0</v>
      </c>
      <c r="E137" s="2">
        <v>0.0</v>
      </c>
      <c r="F137" s="2">
        <v>0.0</v>
      </c>
      <c r="G137" s="2">
        <v>0.0</v>
      </c>
      <c r="H137" s="2">
        <v>0.0</v>
      </c>
    </row>
    <row r="138" ht="14.25" customHeight="1">
      <c r="A138" s="2" t="s">
        <v>40</v>
      </c>
      <c r="B138" s="2" t="s">
        <v>23</v>
      </c>
      <c r="C138" s="2" t="s">
        <v>10</v>
      </c>
      <c r="D138" s="2">
        <v>2489.771160548876</v>
      </c>
      <c r="E138" s="2">
        <v>8.467649314995</v>
      </c>
      <c r="F138" s="2">
        <v>68277.28701544301</v>
      </c>
      <c r="G138" s="2">
        <v>67.0040584501687</v>
      </c>
      <c r="H138" s="2">
        <v>4.101839600422308</v>
      </c>
    </row>
    <row r="139" ht="14.25" customHeight="1">
      <c r="A139" s="2" t="s">
        <v>40</v>
      </c>
      <c r="B139" s="2" t="s">
        <v>29</v>
      </c>
      <c r="C139" s="2" t="s">
        <v>10</v>
      </c>
      <c r="D139" s="2">
        <v>0.0</v>
      </c>
      <c r="E139" s="2">
        <v>0.0</v>
      </c>
      <c r="F139" s="2">
        <v>0.0</v>
      </c>
      <c r="G139" s="2">
        <v>0.0</v>
      </c>
      <c r="H139" s="2">
        <v>0.0</v>
      </c>
    </row>
    <row r="140" ht="14.25" customHeight="1">
      <c r="A140" s="2" t="s">
        <v>40</v>
      </c>
      <c r="B140" s="2" t="s">
        <v>18</v>
      </c>
      <c r="C140" s="2" t="s">
        <v>10</v>
      </c>
      <c r="D140" s="2">
        <v>0.0</v>
      </c>
      <c r="E140" s="2">
        <v>0.0</v>
      </c>
      <c r="F140" s="2">
        <v>0.0</v>
      </c>
      <c r="G140" s="2">
        <v>0.0</v>
      </c>
      <c r="H140" s="2">
        <v>0.0</v>
      </c>
    </row>
    <row r="141" ht="14.25" customHeight="1">
      <c r="A141" s="2" t="s">
        <v>47</v>
      </c>
      <c r="B141" s="2" t="s">
        <v>48</v>
      </c>
      <c r="C141" s="2" t="s">
        <v>10</v>
      </c>
      <c r="D141" s="2">
        <v>0.0</v>
      </c>
      <c r="E141" s="2">
        <v>0.0</v>
      </c>
      <c r="F141" s="2">
        <v>0.0</v>
      </c>
      <c r="G141" s="2">
        <v>0.0</v>
      </c>
      <c r="H141" s="2">
        <v>0.0</v>
      </c>
    </row>
    <row r="142" ht="14.25" customHeight="1">
      <c r="A142" s="2" t="s">
        <v>47</v>
      </c>
      <c r="B142" s="2" t="s">
        <v>51</v>
      </c>
      <c r="C142" s="2" t="s">
        <v>10</v>
      </c>
      <c r="D142" s="2">
        <v>0.0</v>
      </c>
      <c r="E142" s="2">
        <v>0.0</v>
      </c>
      <c r="F142" s="2">
        <v>0.0</v>
      </c>
      <c r="G142" s="2">
        <v>0.0</v>
      </c>
      <c r="H142" s="2">
        <v>0.0</v>
      </c>
    </row>
    <row r="143" ht="14.25" customHeight="1">
      <c r="A143" s="2" t="s">
        <v>52</v>
      </c>
      <c r="B143" s="2" t="s">
        <v>53</v>
      </c>
      <c r="C143" s="2" t="s">
        <v>54</v>
      </c>
      <c r="D143" s="2">
        <v>57.54073228904</v>
      </c>
      <c r="E143" s="2">
        <v>6.8004798596</v>
      </c>
      <c r="F143" s="2">
        <v>836.58089594488</v>
      </c>
      <c r="G143" s="2">
        <v>0.53340678182</v>
      </c>
      <c r="H143" s="2">
        <v>0.00211279042799</v>
      </c>
    </row>
    <row r="144" ht="14.25" customHeight="1">
      <c r="A144" s="2" t="s">
        <v>52</v>
      </c>
      <c r="B144" s="2" t="s">
        <v>53</v>
      </c>
      <c r="C144" s="2" t="s">
        <v>54</v>
      </c>
      <c r="D144" s="2">
        <v>10.33993607226</v>
      </c>
      <c r="E144" s="2">
        <v>0.1223559749</v>
      </c>
      <c r="F144" s="2">
        <v>116.09348903622</v>
      </c>
      <c r="G144" s="2">
        <v>0.063204260455</v>
      </c>
      <c r="H144" s="2">
        <v>2.532136069975E-4</v>
      </c>
    </row>
    <row r="145" ht="14.25" customHeight="1">
      <c r="A145" s="2" t="s">
        <v>52</v>
      </c>
      <c r="B145" s="2" t="s">
        <v>53</v>
      </c>
      <c r="C145" s="2" t="s">
        <v>54</v>
      </c>
      <c r="D145" s="2">
        <v>9.15384228904</v>
      </c>
      <c r="E145" s="2">
        <v>0.9944320796</v>
      </c>
      <c r="F145" s="2">
        <v>125.77035856488</v>
      </c>
      <c r="G145" s="2">
        <v>0.04496005382</v>
      </c>
      <c r="H145" s="2">
        <v>2.9474242799E-4</v>
      </c>
    </row>
    <row r="146" ht="14.25" customHeight="1">
      <c r="A146" s="2" t="s">
        <v>52</v>
      </c>
      <c r="B146" s="2" t="s">
        <v>53</v>
      </c>
      <c r="C146" s="2" t="s">
        <v>55</v>
      </c>
      <c r="D146" s="2">
        <v>2.202087078</v>
      </c>
      <c r="E146" s="2">
        <v>0.0093963374925</v>
      </c>
      <c r="F146" s="2">
        <v>100.73679437895</v>
      </c>
      <c r="G146" s="2">
        <v>0.0657364863</v>
      </c>
      <c r="H146" s="2">
        <v>9.6994341E-5</v>
      </c>
    </row>
    <row r="147" ht="14.25" customHeight="1">
      <c r="A147" s="2" t="s">
        <v>52</v>
      </c>
      <c r="B147" s="2" t="s">
        <v>213</v>
      </c>
      <c r="C147" s="2" t="s">
        <v>54</v>
      </c>
      <c r="D147" s="2">
        <v>0.0</v>
      </c>
      <c r="E147" s="2">
        <v>0.0</v>
      </c>
      <c r="F147" s="2">
        <v>0.0</v>
      </c>
      <c r="G147" s="2">
        <v>0.0</v>
      </c>
      <c r="H147" s="2">
        <v>0.0</v>
      </c>
    </row>
    <row r="148" ht="14.25" customHeight="1">
      <c r="A148" s="2" t="s">
        <v>52</v>
      </c>
      <c r="B148" s="2" t="s">
        <v>213</v>
      </c>
      <c r="C148" s="2" t="s">
        <v>54</v>
      </c>
      <c r="D148" s="2">
        <v>0.0</v>
      </c>
      <c r="E148" s="2">
        <v>0.0</v>
      </c>
      <c r="F148" s="2">
        <v>0.0</v>
      </c>
      <c r="G148" s="2">
        <v>0.0</v>
      </c>
      <c r="H148" s="2">
        <v>0.0</v>
      </c>
    </row>
    <row r="149" ht="14.25" customHeight="1">
      <c r="A149" s="2" t="s">
        <v>52</v>
      </c>
      <c r="B149" s="2" t="s">
        <v>213</v>
      </c>
      <c r="C149" s="2" t="s">
        <v>54</v>
      </c>
      <c r="D149" s="2">
        <v>0.0</v>
      </c>
      <c r="E149" s="2">
        <v>0.0</v>
      </c>
      <c r="F149" s="2">
        <v>0.0</v>
      </c>
      <c r="G149" s="2">
        <v>0.0</v>
      </c>
      <c r="H149" s="2">
        <v>0.0</v>
      </c>
    </row>
    <row r="150" ht="14.25" customHeight="1">
      <c r="A150" s="2" t="s">
        <v>52</v>
      </c>
      <c r="B150" s="2" t="s">
        <v>213</v>
      </c>
      <c r="C150" s="2" t="s">
        <v>55</v>
      </c>
      <c r="D150" s="2">
        <v>0.0</v>
      </c>
      <c r="E150" s="2">
        <v>0.0</v>
      </c>
      <c r="F150" s="2">
        <v>0.0</v>
      </c>
      <c r="G150" s="2">
        <v>0.0</v>
      </c>
      <c r="H150" s="2">
        <v>0.0</v>
      </c>
    </row>
    <row r="151" ht="14.25" customHeight="1">
      <c r="A151" s="2" t="s">
        <v>52</v>
      </c>
      <c r="B151" s="2" t="s">
        <v>53</v>
      </c>
      <c r="C151" s="2" t="s">
        <v>10</v>
      </c>
      <c r="D151" s="2">
        <v>79.23659772834</v>
      </c>
      <c r="E151" s="2">
        <v>7.9266642515925</v>
      </c>
      <c r="F151" s="2">
        <v>1179.18153792493</v>
      </c>
      <c r="G151" s="2">
        <v>0.707307582395</v>
      </c>
      <c r="H151" s="2">
        <v>0.0027577408039775</v>
      </c>
    </row>
    <row r="152" ht="14.25" customHeight="1">
      <c r="A152" s="2" t="s">
        <v>52</v>
      </c>
      <c r="B152" s="2" t="s">
        <v>18</v>
      </c>
      <c r="C152" s="2" t="s">
        <v>10</v>
      </c>
      <c r="D152" s="2">
        <v>0.0</v>
      </c>
      <c r="E152" s="2">
        <v>0.0</v>
      </c>
      <c r="F152" s="2">
        <v>0.0</v>
      </c>
      <c r="G152" s="2">
        <v>0.0</v>
      </c>
      <c r="H152" s="2">
        <v>0.0</v>
      </c>
    </row>
    <row r="153" ht="14.25" customHeight="1">
      <c r="A153" s="2" t="s">
        <v>56</v>
      </c>
      <c r="B153" s="2" t="s">
        <v>21</v>
      </c>
      <c r="C153" s="2" t="s">
        <v>41</v>
      </c>
      <c r="D153" s="2">
        <v>112.56322475646</v>
      </c>
      <c r="E153" s="2">
        <v>0.0260795064</v>
      </c>
      <c r="F153" s="2">
        <v>2547.12753250362</v>
      </c>
      <c r="G153" s="2">
        <v>1.498535065305</v>
      </c>
      <c r="H153" s="2">
        <v>6.485585965725E-4</v>
      </c>
    </row>
    <row r="154" ht="14.25" customHeight="1">
      <c r="A154" s="2" t="s">
        <v>56</v>
      </c>
      <c r="B154" s="2" t="s">
        <v>21</v>
      </c>
      <c r="C154" s="2" t="s">
        <v>41</v>
      </c>
      <c r="D154" s="2">
        <v>69.7344781068</v>
      </c>
      <c r="E154" s="2">
        <v>0.300815352</v>
      </c>
      <c r="F154" s="2">
        <v>5579.1519482196</v>
      </c>
      <c r="G154" s="2">
        <v>2.1426740019</v>
      </c>
      <c r="H154" s="2">
        <v>0.00297236825955</v>
      </c>
    </row>
    <row r="155" ht="14.25" customHeight="1">
      <c r="A155" s="2" t="s">
        <v>56</v>
      </c>
      <c r="B155" s="2" t="s">
        <v>21</v>
      </c>
      <c r="C155" s="2" t="s">
        <v>42</v>
      </c>
      <c r="D155" s="2">
        <v>6.3550419564</v>
      </c>
      <c r="E155" s="2">
        <v>0.0545053735</v>
      </c>
      <c r="F155" s="2">
        <v>96.5520500258</v>
      </c>
      <c r="G155" s="2">
        <v>0.0502314637</v>
      </c>
      <c r="H155" s="2">
        <v>1.7289320715E-4</v>
      </c>
    </row>
    <row r="156" ht="14.25" customHeight="1">
      <c r="A156" s="2" t="s">
        <v>56</v>
      </c>
      <c r="B156" s="2" t="s">
        <v>21</v>
      </c>
      <c r="C156" s="2" t="s">
        <v>43</v>
      </c>
      <c r="D156" s="2">
        <v>18.5056936896</v>
      </c>
      <c r="E156" s="2">
        <v>0.048297416</v>
      </c>
      <c r="F156" s="2">
        <v>339.5919704112</v>
      </c>
      <c r="G156" s="2">
        <v>0.2777957438</v>
      </c>
      <c r="H156" s="2">
        <v>4.507185376E-4</v>
      </c>
    </row>
    <row r="157" ht="14.25" customHeight="1">
      <c r="A157" s="2" t="s">
        <v>56</v>
      </c>
      <c r="B157" s="2" t="s">
        <v>21</v>
      </c>
      <c r="C157" s="2" t="s">
        <v>57</v>
      </c>
      <c r="D157" s="2">
        <v>0.9618702093</v>
      </c>
      <c r="E157" s="2">
        <v>2.47982175E-4</v>
      </c>
      <c r="F157" s="2">
        <v>15.352832257875</v>
      </c>
      <c r="G157" s="2">
        <v>0.0240152621625</v>
      </c>
      <c r="H157" s="2">
        <v>2.57630625E-4</v>
      </c>
    </row>
    <row r="158" ht="14.25" customHeight="1">
      <c r="A158" s="2" t="s">
        <v>56</v>
      </c>
      <c r="B158" s="2" t="s">
        <v>21</v>
      </c>
      <c r="C158" s="2" t="s">
        <v>58</v>
      </c>
      <c r="D158" s="2">
        <v>225.9357828</v>
      </c>
      <c r="E158" s="2">
        <v>0.84334796</v>
      </c>
      <c r="F158" s="2">
        <v>7296.79640144</v>
      </c>
      <c r="G158" s="2">
        <v>6.345483872</v>
      </c>
      <c r="H158" s="2">
        <v>0.0145233816</v>
      </c>
    </row>
    <row r="159" ht="14.25" customHeight="1">
      <c r="A159" s="2" t="s">
        <v>56</v>
      </c>
      <c r="B159" s="2" t="s">
        <v>21</v>
      </c>
      <c r="C159" s="2" t="s">
        <v>44</v>
      </c>
      <c r="D159" s="2">
        <v>90.88567049016</v>
      </c>
      <c r="E159" s="2">
        <v>1.20367573704</v>
      </c>
      <c r="F159" s="2">
        <v>2380.428409968</v>
      </c>
      <c r="G159" s="2">
        <v>11.96571100032</v>
      </c>
      <c r="H159" s="2">
        <v>1.07018948232</v>
      </c>
    </row>
    <row r="160" ht="14.25" customHeight="1">
      <c r="A160" s="2" t="s">
        <v>56</v>
      </c>
      <c r="B160" s="2" t="s">
        <v>21</v>
      </c>
      <c r="C160" s="2" t="s">
        <v>45</v>
      </c>
      <c r="D160" s="2">
        <v>25.204048912</v>
      </c>
      <c r="E160" s="2">
        <v>0.08297610874</v>
      </c>
      <c r="F160" s="2">
        <v>981.883652267</v>
      </c>
      <c r="G160" s="2">
        <v>0.5963161988</v>
      </c>
      <c r="H160" s="2">
        <v>0.0013809706134</v>
      </c>
    </row>
    <row r="161" ht="14.25" customHeight="1">
      <c r="A161" s="2" t="s">
        <v>56</v>
      </c>
      <c r="B161" s="2" t="s">
        <v>21</v>
      </c>
      <c r="C161" s="2" t="s">
        <v>59</v>
      </c>
      <c r="D161" s="2">
        <v>0.0</v>
      </c>
      <c r="E161" s="2">
        <v>0.0</v>
      </c>
      <c r="F161" s="2">
        <v>0.0</v>
      </c>
      <c r="G161" s="2">
        <v>0.0</v>
      </c>
      <c r="H161" s="2">
        <v>0.0</v>
      </c>
    </row>
    <row r="162" ht="14.25" customHeight="1">
      <c r="A162" s="2" t="s">
        <v>56</v>
      </c>
      <c r="B162" s="2" t="s">
        <v>212</v>
      </c>
      <c r="C162" s="2" t="s">
        <v>41</v>
      </c>
      <c r="D162" s="2">
        <v>0.0</v>
      </c>
      <c r="E162" s="2">
        <v>0.0</v>
      </c>
      <c r="F162" s="2">
        <v>0.0</v>
      </c>
      <c r="G162" s="2">
        <v>0.0</v>
      </c>
      <c r="H162" s="2">
        <v>0.0</v>
      </c>
    </row>
    <row r="163" ht="14.25" customHeight="1">
      <c r="A163" s="2" t="s">
        <v>56</v>
      </c>
      <c r="B163" s="2" t="s">
        <v>212</v>
      </c>
      <c r="C163" s="2" t="s">
        <v>41</v>
      </c>
      <c r="D163" s="2">
        <v>0.0</v>
      </c>
      <c r="E163" s="2">
        <v>0.0</v>
      </c>
      <c r="F163" s="2">
        <v>0.0</v>
      </c>
      <c r="G163" s="2">
        <v>0.0</v>
      </c>
      <c r="H163" s="2">
        <v>0.0</v>
      </c>
    </row>
    <row r="164" ht="14.25" customHeight="1">
      <c r="A164" s="2" t="s">
        <v>56</v>
      </c>
      <c r="B164" s="2" t="s">
        <v>212</v>
      </c>
      <c r="C164" s="2" t="s">
        <v>42</v>
      </c>
      <c r="D164" s="2">
        <v>0.0</v>
      </c>
      <c r="E164" s="2">
        <v>0.0</v>
      </c>
      <c r="F164" s="2">
        <v>0.0</v>
      </c>
      <c r="G164" s="2">
        <v>0.0</v>
      </c>
      <c r="H164" s="2">
        <v>0.0</v>
      </c>
    </row>
    <row r="165" ht="14.25" customHeight="1">
      <c r="A165" s="2" t="s">
        <v>56</v>
      </c>
      <c r="B165" s="2" t="s">
        <v>212</v>
      </c>
      <c r="C165" s="2" t="s">
        <v>43</v>
      </c>
      <c r="D165" s="2">
        <v>0.0</v>
      </c>
      <c r="E165" s="2">
        <v>0.0</v>
      </c>
      <c r="F165" s="2">
        <v>0.0</v>
      </c>
      <c r="G165" s="2">
        <v>0.0</v>
      </c>
      <c r="H165" s="2">
        <v>0.0</v>
      </c>
    </row>
    <row r="166" ht="14.25" customHeight="1">
      <c r="A166" s="2" t="s">
        <v>56</v>
      </c>
      <c r="B166" s="2" t="s">
        <v>212</v>
      </c>
      <c r="C166" s="2" t="s">
        <v>57</v>
      </c>
      <c r="D166" s="2">
        <v>0.0</v>
      </c>
      <c r="E166" s="2">
        <v>0.0</v>
      </c>
      <c r="F166" s="2">
        <v>0.0</v>
      </c>
      <c r="G166" s="2">
        <v>0.0</v>
      </c>
      <c r="H166" s="2">
        <v>0.0</v>
      </c>
    </row>
    <row r="167" ht="14.25" customHeight="1">
      <c r="A167" s="2" t="s">
        <v>56</v>
      </c>
      <c r="B167" s="2" t="s">
        <v>212</v>
      </c>
      <c r="C167" s="2" t="s">
        <v>58</v>
      </c>
      <c r="D167" s="2">
        <v>0.0</v>
      </c>
      <c r="E167" s="2">
        <v>0.0</v>
      </c>
      <c r="F167" s="2">
        <v>0.0</v>
      </c>
      <c r="G167" s="2">
        <v>0.0</v>
      </c>
      <c r="H167" s="2">
        <v>0.0</v>
      </c>
    </row>
    <row r="168" ht="14.25" customHeight="1">
      <c r="A168" s="2" t="s">
        <v>56</v>
      </c>
      <c r="B168" s="2" t="s">
        <v>212</v>
      </c>
      <c r="C168" s="2" t="s">
        <v>44</v>
      </c>
      <c r="D168" s="2">
        <v>0.0</v>
      </c>
      <c r="E168" s="2">
        <v>0.0</v>
      </c>
      <c r="F168" s="2">
        <v>0.0</v>
      </c>
      <c r="G168" s="2">
        <v>0.0</v>
      </c>
      <c r="H168" s="2">
        <v>0.0</v>
      </c>
    </row>
    <row r="169" ht="14.25" customHeight="1">
      <c r="A169" s="2" t="s">
        <v>56</v>
      </c>
      <c r="B169" s="2" t="s">
        <v>212</v>
      </c>
      <c r="C169" s="2" t="s">
        <v>45</v>
      </c>
      <c r="D169" s="2">
        <v>0.0</v>
      </c>
      <c r="E169" s="2">
        <v>0.0</v>
      </c>
      <c r="F169" s="2">
        <v>0.0</v>
      </c>
      <c r="G169" s="2">
        <v>0.0</v>
      </c>
      <c r="H169" s="2">
        <v>0.0</v>
      </c>
    </row>
    <row r="170" ht="14.25" customHeight="1">
      <c r="A170" s="2" t="s">
        <v>56</v>
      </c>
      <c r="B170" s="2" t="s">
        <v>212</v>
      </c>
      <c r="C170" s="2" t="s">
        <v>59</v>
      </c>
      <c r="D170" s="2">
        <v>0.0</v>
      </c>
      <c r="E170" s="2">
        <v>0.0</v>
      </c>
      <c r="F170" s="2">
        <v>0.0</v>
      </c>
      <c r="G170" s="2">
        <v>0.0</v>
      </c>
      <c r="H170" s="2">
        <v>0.0</v>
      </c>
    </row>
    <row r="171" ht="14.25" customHeight="1">
      <c r="A171" s="2" t="s">
        <v>56</v>
      </c>
      <c r="B171" s="2" t="s">
        <v>21</v>
      </c>
      <c r="C171" s="2" t="s">
        <v>10</v>
      </c>
      <c r="D171" s="2">
        <v>550.14581092072</v>
      </c>
      <c r="E171" s="2">
        <v>2.559945435855</v>
      </c>
      <c r="F171" s="2">
        <v>19236.88479709309</v>
      </c>
      <c r="G171" s="2">
        <v>22.9007626079875</v>
      </c>
      <c r="H171" s="2">
        <v>1.090596003759273</v>
      </c>
    </row>
    <row r="172" ht="14.25" customHeight="1">
      <c r="A172" s="2" t="s">
        <v>56</v>
      </c>
      <c r="B172" s="2" t="s">
        <v>22</v>
      </c>
      <c r="C172" s="2" t="s">
        <v>60</v>
      </c>
      <c r="D172" s="2">
        <v>0.0</v>
      </c>
      <c r="E172" s="2">
        <v>0.0</v>
      </c>
      <c r="F172" s="2">
        <v>0.0</v>
      </c>
      <c r="G172" s="2">
        <v>0.0</v>
      </c>
      <c r="H172" s="2">
        <v>0.0</v>
      </c>
    </row>
    <row r="173" ht="14.25" customHeight="1">
      <c r="A173" s="2" t="s">
        <v>56</v>
      </c>
      <c r="B173" s="2" t="s">
        <v>22</v>
      </c>
      <c r="C173" s="2" t="s">
        <v>61</v>
      </c>
      <c r="D173" s="2">
        <v>2828.02441000992</v>
      </c>
      <c r="E173" s="2">
        <v>4.0282322388</v>
      </c>
      <c r="F173" s="2">
        <v>79102.39866108623</v>
      </c>
      <c r="G173" s="2">
        <v>25.09557438036</v>
      </c>
      <c r="H173" s="2">
        <v>0.46727955674202</v>
      </c>
    </row>
    <row r="174" ht="14.25" customHeight="1">
      <c r="A174" s="2" t="s">
        <v>56</v>
      </c>
      <c r="B174" s="2" t="s">
        <v>22</v>
      </c>
      <c r="C174" s="2" t="s">
        <v>62</v>
      </c>
      <c r="D174" s="2">
        <v>220.3106270544</v>
      </c>
      <c r="E174" s="2">
        <v>0.751803696</v>
      </c>
      <c r="F174" s="2">
        <v>4460.1915086568</v>
      </c>
      <c r="G174" s="2">
        <v>2.8582357302</v>
      </c>
      <c r="H174" s="2">
        <v>0.0055370440764</v>
      </c>
    </row>
    <row r="175" ht="14.25" customHeight="1">
      <c r="A175" s="2" t="s">
        <v>56</v>
      </c>
      <c r="B175" s="2" t="s">
        <v>22</v>
      </c>
      <c r="C175" s="2" t="s">
        <v>63</v>
      </c>
      <c r="D175" s="2">
        <v>39.828844606848</v>
      </c>
      <c r="E175" s="2">
        <v>0.084647980032</v>
      </c>
      <c r="F175" s="2">
        <v>978.6382501632</v>
      </c>
      <c r="G175" s="2">
        <v>0.554121494784</v>
      </c>
      <c r="H175" s="2">
        <v>0.002465232</v>
      </c>
    </row>
    <row r="176" ht="14.25" customHeight="1">
      <c r="A176" s="2" t="s">
        <v>56</v>
      </c>
      <c r="B176" s="2" t="s">
        <v>22</v>
      </c>
      <c r="C176" s="2" t="s">
        <v>64</v>
      </c>
      <c r="D176" s="2">
        <v>1.1361971511</v>
      </c>
      <c r="E176" s="2">
        <v>9.9E-4</v>
      </c>
      <c r="F176" s="2">
        <v>1.33397962137</v>
      </c>
      <c r="G176" s="2">
        <v>0.00132</v>
      </c>
      <c r="H176" s="2">
        <v>2.64E-6</v>
      </c>
    </row>
    <row r="177" ht="14.25" customHeight="1">
      <c r="A177" s="2" t="s">
        <v>56</v>
      </c>
      <c r="B177" s="2" t="s">
        <v>22</v>
      </c>
      <c r="C177" s="2" t="s">
        <v>65</v>
      </c>
      <c r="D177" s="2">
        <v>170.525652771</v>
      </c>
      <c r="E177" s="2">
        <v>0.6365191897</v>
      </c>
      <c r="F177" s="2">
        <v>5507.2771301308</v>
      </c>
      <c r="G177" s="2">
        <v>4.78927138504</v>
      </c>
      <c r="H177" s="2">
        <v>0.010961562162</v>
      </c>
    </row>
    <row r="178" ht="14.25" customHeight="1">
      <c r="A178" s="2" t="s">
        <v>56</v>
      </c>
      <c r="B178" s="2" t="s">
        <v>22</v>
      </c>
      <c r="C178" s="2" t="s">
        <v>66</v>
      </c>
      <c r="D178" s="2">
        <v>168.78767376744</v>
      </c>
      <c r="E178" s="2">
        <v>2.23539779736</v>
      </c>
      <c r="F178" s="2">
        <v>4420.795618512</v>
      </c>
      <c r="G178" s="2">
        <v>22.22203471488</v>
      </c>
      <c r="H178" s="2">
        <v>1.98749475288</v>
      </c>
    </row>
    <row r="179" ht="14.25" customHeight="1">
      <c r="A179" s="2" t="s">
        <v>56</v>
      </c>
      <c r="B179" s="2" t="s">
        <v>22</v>
      </c>
      <c r="C179" s="2" t="s">
        <v>67</v>
      </c>
      <c r="D179" s="2">
        <v>46.807519408</v>
      </c>
      <c r="E179" s="2">
        <v>0.15409848766</v>
      </c>
      <c r="F179" s="2">
        <v>1823.498211353</v>
      </c>
      <c r="G179" s="2">
        <v>1.1074443692</v>
      </c>
      <c r="H179" s="2">
        <v>0.0025646597106</v>
      </c>
    </row>
    <row r="180" ht="14.25" customHeight="1">
      <c r="A180" s="2" t="s">
        <v>56</v>
      </c>
      <c r="B180" s="2" t="s">
        <v>22</v>
      </c>
      <c r="C180" s="2" t="s">
        <v>68</v>
      </c>
      <c r="D180" s="2">
        <v>29.0728179744</v>
      </c>
      <c r="E180" s="2">
        <v>0.077458256</v>
      </c>
      <c r="F180" s="2">
        <v>484.8940543968</v>
      </c>
      <c r="G180" s="2">
        <v>0.0551508152</v>
      </c>
      <c r="H180" s="2">
        <v>1.871925964E-4</v>
      </c>
    </row>
    <row r="181" ht="14.25" customHeight="1">
      <c r="A181" s="2" t="s">
        <v>56</v>
      </c>
      <c r="B181" s="2" t="s">
        <v>214</v>
      </c>
      <c r="C181" s="2" t="s">
        <v>60</v>
      </c>
      <c r="D181" s="2">
        <v>0.0</v>
      </c>
      <c r="E181" s="2">
        <v>0.0</v>
      </c>
      <c r="F181" s="2">
        <v>0.0</v>
      </c>
      <c r="G181" s="2">
        <v>0.0</v>
      </c>
      <c r="H181" s="2">
        <v>0.0</v>
      </c>
    </row>
    <row r="182" ht="14.25" customHeight="1">
      <c r="A182" s="2" t="s">
        <v>56</v>
      </c>
      <c r="B182" s="2" t="s">
        <v>214</v>
      </c>
      <c r="C182" s="2" t="s">
        <v>61</v>
      </c>
      <c r="D182" s="2">
        <v>0.0</v>
      </c>
      <c r="E182" s="2">
        <v>0.0</v>
      </c>
      <c r="F182" s="2">
        <v>0.0</v>
      </c>
      <c r="G182" s="2">
        <v>0.0</v>
      </c>
      <c r="H182" s="2">
        <v>0.0</v>
      </c>
    </row>
    <row r="183" ht="14.25" customHeight="1">
      <c r="A183" s="2" t="s">
        <v>56</v>
      </c>
      <c r="B183" s="2" t="s">
        <v>214</v>
      </c>
      <c r="C183" s="2" t="s">
        <v>62</v>
      </c>
      <c r="D183" s="2">
        <v>0.0</v>
      </c>
      <c r="E183" s="2">
        <v>0.0</v>
      </c>
      <c r="F183" s="2">
        <v>0.0</v>
      </c>
      <c r="G183" s="2">
        <v>0.0</v>
      </c>
      <c r="H183" s="2">
        <v>0.0</v>
      </c>
    </row>
    <row r="184" ht="14.25" customHeight="1">
      <c r="A184" s="2" t="s">
        <v>56</v>
      </c>
      <c r="B184" s="2" t="s">
        <v>214</v>
      </c>
      <c r="C184" s="2" t="s">
        <v>63</v>
      </c>
      <c r="D184" s="2">
        <v>0.0</v>
      </c>
      <c r="E184" s="2">
        <v>0.0</v>
      </c>
      <c r="F184" s="2">
        <v>0.0</v>
      </c>
      <c r="G184" s="2">
        <v>0.0</v>
      </c>
      <c r="H184" s="2">
        <v>0.0</v>
      </c>
    </row>
    <row r="185" ht="14.25" customHeight="1">
      <c r="A185" s="2" t="s">
        <v>56</v>
      </c>
      <c r="B185" s="2" t="s">
        <v>214</v>
      </c>
      <c r="C185" s="2" t="s">
        <v>64</v>
      </c>
      <c r="D185" s="2">
        <v>0.0</v>
      </c>
      <c r="E185" s="2">
        <v>0.0</v>
      </c>
      <c r="F185" s="2">
        <v>0.0</v>
      </c>
      <c r="G185" s="2">
        <v>0.0</v>
      </c>
      <c r="H185" s="2">
        <v>0.0</v>
      </c>
    </row>
    <row r="186" ht="14.25" customHeight="1">
      <c r="A186" s="2" t="s">
        <v>56</v>
      </c>
      <c r="B186" s="2" t="s">
        <v>214</v>
      </c>
      <c r="C186" s="2" t="s">
        <v>65</v>
      </c>
      <c r="D186" s="2">
        <v>0.0</v>
      </c>
      <c r="E186" s="2">
        <v>0.0</v>
      </c>
      <c r="F186" s="2">
        <v>0.0</v>
      </c>
      <c r="G186" s="2">
        <v>0.0</v>
      </c>
      <c r="H186" s="2">
        <v>0.0</v>
      </c>
    </row>
    <row r="187" ht="14.25" customHeight="1">
      <c r="A187" s="2" t="s">
        <v>56</v>
      </c>
      <c r="B187" s="2" t="s">
        <v>214</v>
      </c>
      <c r="C187" s="2" t="s">
        <v>66</v>
      </c>
      <c r="D187" s="2">
        <v>0.0</v>
      </c>
      <c r="E187" s="2">
        <v>0.0</v>
      </c>
      <c r="F187" s="2">
        <v>0.0</v>
      </c>
      <c r="G187" s="2">
        <v>0.0</v>
      </c>
      <c r="H187" s="2">
        <v>0.0</v>
      </c>
    </row>
    <row r="188" ht="14.25" customHeight="1">
      <c r="A188" s="2" t="s">
        <v>56</v>
      </c>
      <c r="B188" s="2" t="s">
        <v>214</v>
      </c>
      <c r="C188" s="2" t="s">
        <v>67</v>
      </c>
      <c r="D188" s="2">
        <v>0.0</v>
      </c>
      <c r="E188" s="2">
        <v>0.0</v>
      </c>
      <c r="F188" s="2">
        <v>0.0</v>
      </c>
      <c r="G188" s="2">
        <v>0.0</v>
      </c>
      <c r="H188" s="2">
        <v>0.0</v>
      </c>
    </row>
    <row r="189" ht="14.25" customHeight="1">
      <c r="A189" s="2" t="s">
        <v>56</v>
      </c>
      <c r="B189" s="2" t="s">
        <v>214</v>
      </c>
      <c r="C189" s="2" t="s">
        <v>68</v>
      </c>
      <c r="D189" s="2">
        <v>0.0</v>
      </c>
      <c r="E189" s="2">
        <v>0.0</v>
      </c>
      <c r="F189" s="2">
        <v>0.0</v>
      </c>
      <c r="G189" s="2">
        <v>0.0</v>
      </c>
      <c r="H189" s="2">
        <v>0.0</v>
      </c>
    </row>
    <row r="190" ht="14.25" customHeight="1">
      <c r="A190" s="2" t="s">
        <v>56</v>
      </c>
      <c r="B190" s="2" t="s">
        <v>22</v>
      </c>
      <c r="C190" s="2" t="s">
        <v>10</v>
      </c>
      <c r="D190" s="2">
        <v>3504.493742743108</v>
      </c>
      <c r="E190" s="2">
        <v>7.969147645552</v>
      </c>
      <c r="F190" s="2">
        <v>96779.02741392021</v>
      </c>
      <c r="G190" s="2">
        <v>56.683152889664</v>
      </c>
      <c r="H190" s="2">
        <v>2.47649264016742</v>
      </c>
    </row>
    <row r="191" ht="14.25" customHeight="1">
      <c r="A191" s="2" t="s">
        <v>56</v>
      </c>
      <c r="B191" s="2" t="s">
        <v>23</v>
      </c>
      <c r="C191" s="2" t="s">
        <v>24</v>
      </c>
      <c r="D191" s="2">
        <v>442.36374374304</v>
      </c>
      <c r="E191" s="2">
        <v>0.5636451072</v>
      </c>
      <c r="F191" s="2">
        <v>11376.20175025488</v>
      </c>
      <c r="G191" s="2">
        <v>3.24980996172</v>
      </c>
      <c r="H191" s="2">
        <v>0.05980775152674</v>
      </c>
    </row>
    <row r="192" ht="14.25" customHeight="1">
      <c r="A192" s="2" t="s">
        <v>56</v>
      </c>
      <c r="B192" s="2" t="s">
        <v>23</v>
      </c>
      <c r="C192" s="2" t="s">
        <v>24</v>
      </c>
      <c r="D192" s="2">
        <v>206.25086479488</v>
      </c>
      <c r="E192" s="2">
        <v>0.2944979376</v>
      </c>
      <c r="F192" s="2">
        <v>5762.51463923136</v>
      </c>
      <c r="G192" s="2">
        <v>1.82622603504</v>
      </c>
      <c r="H192" s="2">
        <v>0.03398767881528</v>
      </c>
    </row>
    <row r="193" ht="14.25" customHeight="1">
      <c r="A193" s="2" t="s">
        <v>56</v>
      </c>
      <c r="B193" s="2" t="s">
        <v>23</v>
      </c>
      <c r="C193" s="2" t="s">
        <v>25</v>
      </c>
      <c r="D193" s="2">
        <v>24.829178678</v>
      </c>
      <c r="E193" s="2">
        <v>0.08446683</v>
      </c>
      <c r="F193" s="2">
        <v>501.418017366</v>
      </c>
      <c r="G193" s="2">
        <v>0.3182461115</v>
      </c>
      <c r="H193" s="2">
        <v>6.1748209925E-4</v>
      </c>
    </row>
    <row r="194" ht="14.25" customHeight="1">
      <c r="A194" s="2" t="s">
        <v>56</v>
      </c>
      <c r="B194" s="2" t="s">
        <v>23</v>
      </c>
      <c r="C194" s="2" t="s">
        <v>32</v>
      </c>
      <c r="D194" s="2">
        <v>14.141914416</v>
      </c>
      <c r="E194" s="2">
        <v>0.044626365</v>
      </c>
      <c r="F194" s="2">
        <v>375.32929707</v>
      </c>
      <c r="G194" s="2">
        <v>0.24301539</v>
      </c>
      <c r="H194" s="2">
        <v>0.001175319</v>
      </c>
    </row>
    <row r="195" ht="14.25" customHeight="1">
      <c r="A195" s="2" t="s">
        <v>56</v>
      </c>
      <c r="B195" s="2" t="s">
        <v>23</v>
      </c>
      <c r="C195" s="2" t="s">
        <v>32</v>
      </c>
      <c r="D195" s="2">
        <v>8.84051996625</v>
      </c>
      <c r="E195" s="2">
        <v>0.02973495375</v>
      </c>
      <c r="F195" s="2">
        <v>242.6995965375</v>
      </c>
      <c r="G195" s="2">
        <v>0.18046668375</v>
      </c>
      <c r="H195" s="2">
        <v>8.391825E-4</v>
      </c>
    </row>
    <row r="196" ht="14.25" customHeight="1">
      <c r="A196" s="2" t="s">
        <v>56</v>
      </c>
      <c r="B196" s="2" t="s">
        <v>23</v>
      </c>
      <c r="C196" s="2" t="s">
        <v>26</v>
      </c>
      <c r="D196" s="2">
        <v>83.8012656822</v>
      </c>
      <c r="E196" s="2">
        <v>0.2084786501625</v>
      </c>
      <c r="F196" s="2">
        <v>1991.98684682175</v>
      </c>
      <c r="G196" s="2">
        <v>1.440818307375</v>
      </c>
      <c r="H196" s="2">
        <v>0.005604761655</v>
      </c>
    </row>
    <row r="197" ht="14.25" customHeight="1">
      <c r="A197" s="2" t="s">
        <v>56</v>
      </c>
      <c r="B197" s="2" t="s">
        <v>23</v>
      </c>
      <c r="C197" s="2" t="s">
        <v>33</v>
      </c>
      <c r="D197" s="2">
        <v>18.20420997165</v>
      </c>
      <c r="E197" s="2">
        <v>0.2336884263</v>
      </c>
      <c r="F197" s="2">
        <v>2681.843852619</v>
      </c>
      <c r="G197" s="2">
        <v>0.7295847282</v>
      </c>
      <c r="H197" s="2">
        <v>0.00264081789</v>
      </c>
    </row>
    <row r="198" ht="14.25" customHeight="1">
      <c r="A198" s="2" t="s">
        <v>56</v>
      </c>
      <c r="B198" s="2" t="s">
        <v>209</v>
      </c>
      <c r="C198" s="2" t="s">
        <v>24</v>
      </c>
      <c r="D198" s="2">
        <v>0.0</v>
      </c>
      <c r="E198" s="2">
        <v>0.0</v>
      </c>
      <c r="F198" s="2">
        <v>0.0</v>
      </c>
      <c r="G198" s="2">
        <v>0.0</v>
      </c>
      <c r="H198" s="2">
        <v>0.0</v>
      </c>
    </row>
    <row r="199" ht="14.25" customHeight="1">
      <c r="A199" s="2" t="s">
        <v>56</v>
      </c>
      <c r="B199" s="2" t="s">
        <v>209</v>
      </c>
      <c r="C199" s="2" t="s">
        <v>24</v>
      </c>
      <c r="D199" s="2">
        <v>0.0</v>
      </c>
      <c r="E199" s="2">
        <v>0.0</v>
      </c>
      <c r="F199" s="2">
        <v>0.0</v>
      </c>
      <c r="G199" s="2">
        <v>0.0</v>
      </c>
      <c r="H199" s="2">
        <v>0.0</v>
      </c>
    </row>
    <row r="200" ht="14.25" customHeight="1">
      <c r="A200" s="2" t="s">
        <v>56</v>
      </c>
      <c r="B200" s="2" t="s">
        <v>209</v>
      </c>
      <c r="C200" s="2" t="s">
        <v>25</v>
      </c>
      <c r="D200" s="2">
        <v>0.0</v>
      </c>
      <c r="E200" s="2">
        <v>0.0</v>
      </c>
      <c r="F200" s="2">
        <v>0.0</v>
      </c>
      <c r="G200" s="2">
        <v>0.0</v>
      </c>
      <c r="H200" s="2">
        <v>0.0</v>
      </c>
    </row>
    <row r="201" ht="14.25" customHeight="1">
      <c r="A201" s="2" t="s">
        <v>56</v>
      </c>
      <c r="B201" s="2" t="s">
        <v>209</v>
      </c>
      <c r="C201" s="2" t="s">
        <v>32</v>
      </c>
      <c r="D201" s="2">
        <v>0.0</v>
      </c>
      <c r="E201" s="2">
        <v>0.0</v>
      </c>
      <c r="F201" s="2">
        <v>0.0</v>
      </c>
      <c r="G201" s="2">
        <v>0.0</v>
      </c>
      <c r="H201" s="2">
        <v>0.0</v>
      </c>
    </row>
    <row r="202" ht="14.25" customHeight="1">
      <c r="A202" s="2" t="s">
        <v>56</v>
      </c>
      <c r="B202" s="2" t="s">
        <v>209</v>
      </c>
      <c r="C202" s="2" t="s">
        <v>32</v>
      </c>
      <c r="D202" s="2">
        <v>0.0</v>
      </c>
      <c r="E202" s="2">
        <v>0.0</v>
      </c>
      <c r="F202" s="2">
        <v>0.0</v>
      </c>
      <c r="G202" s="2">
        <v>0.0</v>
      </c>
      <c r="H202" s="2">
        <v>0.0</v>
      </c>
    </row>
    <row r="203" ht="14.25" customHeight="1">
      <c r="A203" s="2" t="s">
        <v>56</v>
      </c>
      <c r="B203" s="2" t="s">
        <v>209</v>
      </c>
      <c r="C203" s="2" t="s">
        <v>26</v>
      </c>
      <c r="D203" s="2">
        <v>0.0</v>
      </c>
      <c r="E203" s="2">
        <v>0.0</v>
      </c>
      <c r="F203" s="2">
        <v>0.0</v>
      </c>
      <c r="G203" s="2">
        <v>0.0</v>
      </c>
      <c r="H203" s="2">
        <v>0.0</v>
      </c>
    </row>
    <row r="204" ht="14.25" customHeight="1">
      <c r="A204" s="2" t="s">
        <v>56</v>
      </c>
      <c r="B204" s="2" t="s">
        <v>209</v>
      </c>
      <c r="C204" s="2" t="s">
        <v>33</v>
      </c>
      <c r="D204" s="2">
        <v>0.0</v>
      </c>
      <c r="E204" s="2">
        <v>0.0</v>
      </c>
      <c r="F204" s="2">
        <v>0.0</v>
      </c>
      <c r="G204" s="2">
        <v>0.0</v>
      </c>
      <c r="H204" s="2">
        <v>0.0</v>
      </c>
    </row>
    <row r="205" ht="14.25" customHeight="1">
      <c r="A205" s="2" t="s">
        <v>56</v>
      </c>
      <c r="B205" s="2" t="s">
        <v>23</v>
      </c>
      <c r="C205" s="2" t="s">
        <v>10</v>
      </c>
      <c r="D205" s="2">
        <v>798.43169725202</v>
      </c>
      <c r="E205" s="2">
        <v>1.4591382700125</v>
      </c>
      <c r="F205" s="2">
        <v>22931.99399990049</v>
      </c>
      <c r="G205" s="2">
        <v>7.988167217585</v>
      </c>
      <c r="H205" s="2">
        <v>0.10467299348627</v>
      </c>
    </row>
    <row r="206" ht="14.25" customHeight="1">
      <c r="A206" s="2" t="s">
        <v>56</v>
      </c>
      <c r="B206" s="2" t="s">
        <v>29</v>
      </c>
      <c r="C206" s="2" t="s">
        <v>10</v>
      </c>
      <c r="D206" s="2">
        <v>0.0</v>
      </c>
      <c r="E206" s="2">
        <v>0.0</v>
      </c>
      <c r="F206" s="2">
        <v>0.0</v>
      </c>
      <c r="G206" s="2">
        <v>0.0</v>
      </c>
      <c r="H206" s="2">
        <v>0.0</v>
      </c>
    </row>
    <row r="207" ht="14.25" customHeight="1">
      <c r="A207" s="2" t="s">
        <v>56</v>
      </c>
      <c r="B207" s="2" t="s">
        <v>18</v>
      </c>
      <c r="C207" s="2" t="s">
        <v>10</v>
      </c>
      <c r="D207" s="2">
        <v>0.0</v>
      </c>
      <c r="E207" s="2">
        <v>0.0</v>
      </c>
      <c r="F207" s="2">
        <v>0.0</v>
      </c>
      <c r="G207" s="2">
        <v>0.0</v>
      </c>
      <c r="H207" s="2">
        <v>0.0</v>
      </c>
    </row>
    <row r="208" ht="14.25" customHeight="1">
      <c r="A208" s="2" t="s">
        <v>69</v>
      </c>
      <c r="B208" s="2" t="s">
        <v>21</v>
      </c>
      <c r="C208" s="2" t="s">
        <v>10</v>
      </c>
      <c r="D208" s="2">
        <v>0.0</v>
      </c>
      <c r="E208" s="2">
        <v>0.0</v>
      </c>
      <c r="F208" s="2">
        <v>0.0</v>
      </c>
      <c r="G208" s="2">
        <v>0.0</v>
      </c>
      <c r="H208" s="2">
        <v>0.0</v>
      </c>
    </row>
    <row r="209" ht="14.25" customHeight="1">
      <c r="A209" s="2" t="s">
        <v>69</v>
      </c>
      <c r="B209" s="2" t="s">
        <v>22</v>
      </c>
      <c r="C209" s="2" t="s">
        <v>10</v>
      </c>
      <c r="D209" s="2">
        <v>0.0</v>
      </c>
      <c r="E209" s="2">
        <v>0.0</v>
      </c>
      <c r="F209" s="2">
        <v>0.0</v>
      </c>
      <c r="G209" s="2">
        <v>0.0</v>
      </c>
      <c r="H209" s="2">
        <v>0.0</v>
      </c>
    </row>
    <row r="210" ht="14.25" customHeight="1">
      <c r="A210" s="2" t="s">
        <v>69</v>
      </c>
      <c r="B210" s="2" t="s">
        <v>70</v>
      </c>
      <c r="C210" s="2" t="s">
        <v>24</v>
      </c>
      <c r="D210" s="2">
        <v>18747.7967586336</v>
      </c>
      <c r="E210" s="2">
        <v>23.887816448</v>
      </c>
      <c r="F210" s="2">
        <v>482134.2646536592</v>
      </c>
      <c r="G210" s="2">
        <v>137.7300412348</v>
      </c>
      <c r="H210" s="2">
        <v>2.5347094694666</v>
      </c>
    </row>
    <row r="211" ht="14.25" customHeight="1">
      <c r="A211" s="2" t="s">
        <v>69</v>
      </c>
      <c r="B211" s="2" t="s">
        <v>70</v>
      </c>
      <c r="C211" s="2" t="s">
        <v>25</v>
      </c>
      <c r="D211" s="2">
        <v>660.4561528348</v>
      </c>
      <c r="E211" s="2">
        <v>2.246817678</v>
      </c>
      <c r="F211" s="2">
        <v>13337.7192619356</v>
      </c>
      <c r="G211" s="2">
        <v>8.4653465659</v>
      </c>
      <c r="H211" s="2">
        <v>0.01642502384005</v>
      </c>
    </row>
    <row r="212" ht="14.25" customHeight="1">
      <c r="A212" s="2" t="s">
        <v>69</v>
      </c>
      <c r="B212" s="2" t="s">
        <v>70</v>
      </c>
      <c r="C212" s="2" t="s">
        <v>25</v>
      </c>
      <c r="D212" s="2">
        <v>153.01032292288</v>
      </c>
      <c r="E212" s="2">
        <v>0.5212150032</v>
      </c>
      <c r="F212" s="2">
        <v>3093.27084979536</v>
      </c>
      <c r="G212" s="2">
        <v>1.97136058204</v>
      </c>
      <c r="H212" s="2">
        <v>0.00382239721228</v>
      </c>
    </row>
    <row r="213" ht="14.25" customHeight="1">
      <c r="A213" s="2" t="s">
        <v>69</v>
      </c>
      <c r="B213" s="2" t="s">
        <v>70</v>
      </c>
      <c r="C213" s="2" t="s">
        <v>25</v>
      </c>
      <c r="D213" s="2">
        <v>59.22980242176</v>
      </c>
      <c r="E213" s="2">
        <v>0.2017606464</v>
      </c>
      <c r="F213" s="2">
        <v>1197.39516766272</v>
      </c>
      <c r="G213" s="2">
        <v>0.76310732208</v>
      </c>
      <c r="H213" s="2">
        <v>0.00147963763056</v>
      </c>
    </row>
    <row r="214" ht="14.25" customHeight="1">
      <c r="A214" s="2" t="s">
        <v>69</v>
      </c>
      <c r="B214" s="2" t="s">
        <v>70</v>
      </c>
      <c r="C214" s="2" t="s">
        <v>25</v>
      </c>
      <c r="D214" s="2">
        <v>49.27811837248</v>
      </c>
      <c r="E214" s="2">
        <v>0.1679205952</v>
      </c>
      <c r="F214" s="2">
        <v>996.49417882656</v>
      </c>
      <c r="G214" s="2">
        <v>0.63577091384</v>
      </c>
      <c r="H214" s="2">
        <v>0.00123251593488</v>
      </c>
    </row>
    <row r="215" ht="14.25" customHeight="1">
      <c r="A215" s="2" t="s">
        <v>69</v>
      </c>
      <c r="B215" s="2" t="s">
        <v>70</v>
      </c>
      <c r="C215" s="2" t="s">
        <v>25</v>
      </c>
      <c r="D215" s="2">
        <v>275.0261463768</v>
      </c>
      <c r="E215" s="2">
        <v>1.095374514</v>
      </c>
      <c r="F215" s="2">
        <v>5302.1452405896</v>
      </c>
      <c r="G215" s="2">
        <v>3.2670315054</v>
      </c>
      <c r="H215" s="2">
        <v>0.0064546107483</v>
      </c>
    </row>
    <row r="216" ht="14.25" customHeight="1">
      <c r="A216" s="2" t="s">
        <v>69</v>
      </c>
      <c r="B216" s="2" t="s">
        <v>70</v>
      </c>
      <c r="C216" s="2" t="s">
        <v>31</v>
      </c>
      <c r="D216" s="2">
        <v>59.2519015727672</v>
      </c>
      <c r="E216" s="2">
        <v>0.020024865828</v>
      </c>
      <c r="F216" s="2">
        <v>1189.026705544858</v>
      </c>
      <c r="G216" s="2">
        <v>0.6461333390226</v>
      </c>
      <c r="H216" s="2">
        <v>0.0014488958399157</v>
      </c>
    </row>
    <row r="217" ht="14.25" customHeight="1">
      <c r="A217" s="2" t="s">
        <v>69</v>
      </c>
      <c r="B217" s="2" t="s">
        <v>70</v>
      </c>
      <c r="C217" s="2" t="s">
        <v>31</v>
      </c>
      <c r="D217" s="2">
        <v>406.17101240448</v>
      </c>
      <c r="E217" s="2">
        <v>8.5867838592</v>
      </c>
      <c r="F217" s="2">
        <v>10915.77082333056</v>
      </c>
      <c r="G217" s="2">
        <v>5.91022831584</v>
      </c>
      <c r="H217" s="2">
        <v>0.01211635832688</v>
      </c>
    </row>
    <row r="218" ht="14.25" customHeight="1">
      <c r="A218" s="2" t="s">
        <v>69</v>
      </c>
      <c r="B218" s="2" t="s">
        <v>70</v>
      </c>
      <c r="C218" s="2" t="s">
        <v>32</v>
      </c>
      <c r="D218" s="2">
        <v>215.8998934176</v>
      </c>
      <c r="E218" s="2">
        <v>0.681295839</v>
      </c>
      <c r="F218" s="2">
        <v>5730.027268602</v>
      </c>
      <c r="G218" s="2">
        <v>3.710034954</v>
      </c>
      <c r="H218" s="2">
        <v>0.0179432034</v>
      </c>
    </row>
    <row r="219" ht="14.25" customHeight="1">
      <c r="A219" s="2" t="s">
        <v>69</v>
      </c>
      <c r="B219" s="2" t="s">
        <v>70</v>
      </c>
      <c r="C219" s="2" t="s">
        <v>32</v>
      </c>
      <c r="D219" s="2">
        <v>570.508221822</v>
      </c>
      <c r="E219" s="2">
        <v>1.918895682</v>
      </c>
      <c r="F219" s="2">
        <v>15662.21396322</v>
      </c>
      <c r="G219" s="2">
        <v>11.646116658</v>
      </c>
      <c r="H219" s="2">
        <v>0.054155244</v>
      </c>
    </row>
    <row r="220" ht="14.25" customHeight="1">
      <c r="A220" s="2" t="s">
        <v>69</v>
      </c>
      <c r="B220" s="2" t="s">
        <v>70</v>
      </c>
      <c r="C220" s="2" t="s">
        <v>26</v>
      </c>
      <c r="D220" s="2">
        <v>1801.7272121673</v>
      </c>
      <c r="E220" s="2">
        <v>4.48229097849375</v>
      </c>
      <c r="F220" s="2">
        <v>42827.71720666763</v>
      </c>
      <c r="G220" s="2">
        <v>30.9775936085625</v>
      </c>
      <c r="H220" s="2">
        <v>0.1205023755825</v>
      </c>
    </row>
    <row r="221" ht="14.25" customHeight="1">
      <c r="A221" s="2" t="s">
        <v>69</v>
      </c>
      <c r="B221" s="2" t="s">
        <v>70</v>
      </c>
      <c r="C221" s="2" t="s">
        <v>33</v>
      </c>
      <c r="D221" s="2">
        <v>68.96332131542</v>
      </c>
      <c r="E221" s="2">
        <v>0.88528587924</v>
      </c>
      <c r="F221" s="2">
        <v>10159.6751308612</v>
      </c>
      <c r="G221" s="2">
        <v>2.76389835736</v>
      </c>
      <c r="H221" s="2">
        <v>0.010004255772</v>
      </c>
    </row>
    <row r="222" ht="14.25" customHeight="1">
      <c r="A222" s="2" t="s">
        <v>69</v>
      </c>
      <c r="B222" s="2" t="s">
        <v>70</v>
      </c>
      <c r="C222" s="2" t="s">
        <v>33</v>
      </c>
      <c r="D222" s="2">
        <v>85.0977809413</v>
      </c>
      <c r="E222" s="2">
        <v>1.0924048086</v>
      </c>
      <c r="F222" s="2">
        <v>12536.603403518</v>
      </c>
      <c r="G222" s="2">
        <v>3.4105320404</v>
      </c>
      <c r="H222" s="2">
        <v>0.01234482258</v>
      </c>
    </row>
    <row r="223" ht="14.25" customHeight="1">
      <c r="A223" s="2" t="s">
        <v>69</v>
      </c>
      <c r="B223" s="2" t="s">
        <v>70</v>
      </c>
      <c r="C223" s="2" t="s">
        <v>33</v>
      </c>
      <c r="D223" s="2">
        <v>96.94069874836</v>
      </c>
      <c r="E223" s="2">
        <v>1.24443298392</v>
      </c>
      <c r="F223" s="2">
        <v>14281.3018203896</v>
      </c>
      <c r="G223" s="2">
        <v>3.88517015888</v>
      </c>
      <c r="H223" s="2">
        <v>0.014062831176</v>
      </c>
    </row>
    <row r="224" ht="14.25" customHeight="1">
      <c r="A224" s="2" t="s">
        <v>69</v>
      </c>
      <c r="B224" s="2" t="s">
        <v>70</v>
      </c>
      <c r="C224" s="2" t="s">
        <v>33</v>
      </c>
      <c r="D224" s="2">
        <v>84.63713252591</v>
      </c>
      <c r="E224" s="2">
        <v>1.08649144002</v>
      </c>
      <c r="F224" s="2">
        <v>12468.7406880826</v>
      </c>
      <c r="G224" s="2">
        <v>3.39207026428</v>
      </c>
      <c r="H224" s="2">
        <v>0.012277998006</v>
      </c>
    </row>
    <row r="225" ht="14.25" customHeight="1">
      <c r="A225" s="2" t="s">
        <v>69</v>
      </c>
      <c r="B225" s="2" t="s">
        <v>215</v>
      </c>
      <c r="C225" s="2" t="s">
        <v>24</v>
      </c>
      <c r="D225" s="2">
        <v>0.0</v>
      </c>
      <c r="E225" s="2">
        <v>0.0</v>
      </c>
      <c r="F225" s="2">
        <v>0.0</v>
      </c>
      <c r="G225" s="2">
        <v>0.0</v>
      </c>
      <c r="H225" s="2">
        <v>0.0</v>
      </c>
    </row>
    <row r="226" ht="14.25" customHeight="1">
      <c r="A226" s="2" t="s">
        <v>69</v>
      </c>
      <c r="B226" s="2" t="s">
        <v>215</v>
      </c>
      <c r="C226" s="2" t="s">
        <v>25</v>
      </c>
      <c r="D226" s="2">
        <v>0.0</v>
      </c>
      <c r="E226" s="2">
        <v>0.0</v>
      </c>
      <c r="F226" s="2">
        <v>0.0</v>
      </c>
      <c r="G226" s="2">
        <v>0.0</v>
      </c>
      <c r="H226" s="2">
        <v>0.0</v>
      </c>
    </row>
    <row r="227" ht="14.25" customHeight="1">
      <c r="A227" s="2" t="s">
        <v>69</v>
      </c>
      <c r="B227" s="2" t="s">
        <v>215</v>
      </c>
      <c r="C227" s="2" t="s">
        <v>25</v>
      </c>
      <c r="D227" s="2">
        <v>0.0</v>
      </c>
      <c r="E227" s="2">
        <v>0.0</v>
      </c>
      <c r="F227" s="2">
        <v>0.0</v>
      </c>
      <c r="G227" s="2">
        <v>0.0</v>
      </c>
      <c r="H227" s="2">
        <v>0.0</v>
      </c>
    </row>
    <row r="228" ht="14.25" customHeight="1">
      <c r="A228" s="2" t="s">
        <v>69</v>
      </c>
      <c r="B228" s="2" t="s">
        <v>215</v>
      </c>
      <c r="C228" s="2" t="s">
        <v>25</v>
      </c>
      <c r="D228" s="2">
        <v>0.0</v>
      </c>
      <c r="E228" s="2">
        <v>0.0</v>
      </c>
      <c r="F228" s="2">
        <v>0.0</v>
      </c>
      <c r="G228" s="2">
        <v>0.0</v>
      </c>
      <c r="H228" s="2">
        <v>0.0</v>
      </c>
    </row>
    <row r="229" ht="14.25" customHeight="1">
      <c r="A229" s="2" t="s">
        <v>69</v>
      </c>
      <c r="B229" s="2" t="s">
        <v>215</v>
      </c>
      <c r="C229" s="2" t="s">
        <v>25</v>
      </c>
      <c r="D229" s="2">
        <v>0.0</v>
      </c>
      <c r="E229" s="2">
        <v>0.0</v>
      </c>
      <c r="F229" s="2">
        <v>0.0</v>
      </c>
      <c r="G229" s="2">
        <v>0.0</v>
      </c>
      <c r="H229" s="2">
        <v>0.0</v>
      </c>
    </row>
    <row r="230" ht="14.25" customHeight="1">
      <c r="A230" s="2" t="s">
        <v>69</v>
      </c>
      <c r="B230" s="2" t="s">
        <v>215</v>
      </c>
      <c r="C230" s="2" t="s">
        <v>25</v>
      </c>
      <c r="D230" s="2">
        <v>0.0</v>
      </c>
      <c r="E230" s="2">
        <v>0.0</v>
      </c>
      <c r="F230" s="2">
        <v>0.0</v>
      </c>
      <c r="G230" s="2">
        <v>0.0</v>
      </c>
      <c r="H230" s="2">
        <v>0.0</v>
      </c>
    </row>
    <row r="231" ht="14.25" customHeight="1">
      <c r="A231" s="2" t="s">
        <v>69</v>
      </c>
      <c r="B231" s="2" t="s">
        <v>215</v>
      </c>
      <c r="C231" s="2" t="s">
        <v>31</v>
      </c>
      <c r="D231" s="2">
        <v>0.0</v>
      </c>
      <c r="E231" s="2">
        <v>0.0</v>
      </c>
      <c r="F231" s="2">
        <v>0.0</v>
      </c>
      <c r="G231" s="2">
        <v>0.0</v>
      </c>
      <c r="H231" s="2">
        <v>0.0</v>
      </c>
    </row>
    <row r="232" ht="14.25" customHeight="1">
      <c r="A232" s="2" t="s">
        <v>69</v>
      </c>
      <c r="B232" s="2" t="s">
        <v>215</v>
      </c>
      <c r="C232" s="2" t="s">
        <v>31</v>
      </c>
      <c r="D232" s="2">
        <v>0.0</v>
      </c>
      <c r="E232" s="2">
        <v>0.0</v>
      </c>
      <c r="F232" s="2">
        <v>0.0</v>
      </c>
      <c r="G232" s="2">
        <v>0.0</v>
      </c>
      <c r="H232" s="2">
        <v>0.0</v>
      </c>
    </row>
    <row r="233" ht="14.25" customHeight="1">
      <c r="A233" s="2" t="s">
        <v>69</v>
      </c>
      <c r="B233" s="2" t="s">
        <v>215</v>
      </c>
      <c r="C233" s="2" t="s">
        <v>32</v>
      </c>
      <c r="D233" s="2">
        <v>0.0</v>
      </c>
      <c r="E233" s="2">
        <v>0.0</v>
      </c>
      <c r="F233" s="2">
        <v>0.0</v>
      </c>
      <c r="G233" s="2">
        <v>0.0</v>
      </c>
      <c r="H233" s="2">
        <v>0.0</v>
      </c>
    </row>
    <row r="234" ht="14.25" customHeight="1">
      <c r="A234" s="2" t="s">
        <v>69</v>
      </c>
      <c r="B234" s="2" t="s">
        <v>215</v>
      </c>
      <c r="C234" s="2" t="s">
        <v>32</v>
      </c>
      <c r="D234" s="2">
        <v>0.0</v>
      </c>
      <c r="E234" s="2">
        <v>0.0</v>
      </c>
      <c r="F234" s="2">
        <v>0.0</v>
      </c>
      <c r="G234" s="2">
        <v>0.0</v>
      </c>
      <c r="H234" s="2">
        <v>0.0</v>
      </c>
    </row>
    <row r="235" ht="14.25" customHeight="1">
      <c r="A235" s="2" t="s">
        <v>69</v>
      </c>
      <c r="B235" s="2" t="s">
        <v>215</v>
      </c>
      <c r="C235" s="2" t="s">
        <v>26</v>
      </c>
      <c r="D235" s="2">
        <v>0.0</v>
      </c>
      <c r="E235" s="2">
        <v>0.0</v>
      </c>
      <c r="F235" s="2">
        <v>0.0</v>
      </c>
      <c r="G235" s="2">
        <v>0.0</v>
      </c>
      <c r="H235" s="2">
        <v>0.0</v>
      </c>
    </row>
    <row r="236" ht="14.25" customHeight="1">
      <c r="A236" s="2" t="s">
        <v>69</v>
      </c>
      <c r="B236" s="2" t="s">
        <v>215</v>
      </c>
      <c r="C236" s="2" t="s">
        <v>33</v>
      </c>
      <c r="D236" s="2">
        <v>0.0</v>
      </c>
      <c r="E236" s="2">
        <v>0.0</v>
      </c>
      <c r="F236" s="2">
        <v>0.0</v>
      </c>
      <c r="G236" s="2">
        <v>0.0</v>
      </c>
      <c r="H236" s="2">
        <v>0.0</v>
      </c>
    </row>
    <row r="237" ht="14.25" customHeight="1">
      <c r="A237" s="2" t="s">
        <v>69</v>
      </c>
      <c r="B237" s="2" t="s">
        <v>215</v>
      </c>
      <c r="C237" s="2" t="s">
        <v>33</v>
      </c>
      <c r="D237" s="2">
        <v>0.0</v>
      </c>
      <c r="E237" s="2">
        <v>0.0</v>
      </c>
      <c r="F237" s="2">
        <v>0.0</v>
      </c>
      <c r="G237" s="2">
        <v>0.0</v>
      </c>
      <c r="H237" s="2">
        <v>0.0</v>
      </c>
    </row>
    <row r="238" ht="14.25" customHeight="1">
      <c r="A238" s="2" t="s">
        <v>69</v>
      </c>
      <c r="B238" s="2" t="s">
        <v>215</v>
      </c>
      <c r="C238" s="2" t="s">
        <v>33</v>
      </c>
      <c r="D238" s="2">
        <v>0.0</v>
      </c>
      <c r="E238" s="2">
        <v>0.0</v>
      </c>
      <c r="F238" s="2">
        <v>0.0</v>
      </c>
      <c r="G238" s="2">
        <v>0.0</v>
      </c>
      <c r="H238" s="2">
        <v>0.0</v>
      </c>
    </row>
    <row r="239" ht="14.25" customHeight="1">
      <c r="A239" s="2" t="s">
        <v>69</v>
      </c>
      <c r="B239" s="2" t="s">
        <v>215</v>
      </c>
      <c r="C239" s="2" t="s">
        <v>33</v>
      </c>
      <c r="D239" s="2">
        <v>0.0</v>
      </c>
      <c r="E239" s="2">
        <v>0.0</v>
      </c>
      <c r="F239" s="2">
        <v>0.0</v>
      </c>
      <c r="G239" s="2">
        <v>0.0</v>
      </c>
      <c r="H239" s="2">
        <v>0.0</v>
      </c>
    </row>
    <row r="240" ht="14.25" customHeight="1">
      <c r="A240" s="2" t="s">
        <v>69</v>
      </c>
      <c r="B240" s="2" t="s">
        <v>70</v>
      </c>
      <c r="C240" s="2" t="s">
        <v>10</v>
      </c>
      <c r="D240" s="2">
        <v>23333.99447647746</v>
      </c>
      <c r="E240" s="2">
        <v>48.11881122110175</v>
      </c>
      <c r="F240" s="2">
        <v>631832.3663626855</v>
      </c>
      <c r="G240" s="2">
        <v>219.1744358204051</v>
      </c>
      <c r="H240" s="2">
        <v>2.818979639515966</v>
      </c>
    </row>
    <row r="241" ht="14.25" customHeight="1">
      <c r="A241" s="2" t="s">
        <v>69</v>
      </c>
      <c r="B241" s="2" t="s">
        <v>71</v>
      </c>
      <c r="C241" s="2" t="s">
        <v>34</v>
      </c>
      <c r="D241" s="2">
        <v>4736.9098420632</v>
      </c>
      <c r="E241" s="2">
        <v>6.031856628</v>
      </c>
      <c r="F241" s="2">
        <v>121842.8153404704</v>
      </c>
      <c r="G241" s="2">
        <v>34.8142673556</v>
      </c>
      <c r="H241" s="2">
        <v>0.6407799422292</v>
      </c>
    </row>
    <row r="242" ht="14.25" customHeight="1">
      <c r="A242" s="2" t="s">
        <v>69</v>
      </c>
      <c r="B242" s="2" t="s">
        <v>71</v>
      </c>
      <c r="C242" s="2" t="s">
        <v>35</v>
      </c>
      <c r="D242" s="2">
        <v>172.7535903968</v>
      </c>
      <c r="E242" s="2">
        <v>0.588468552</v>
      </c>
      <c r="F242" s="2">
        <v>3492.4025723496</v>
      </c>
      <c r="G242" s="2">
        <v>2.2257296894</v>
      </c>
      <c r="H242" s="2">
        <v>0.0043156097558</v>
      </c>
    </row>
    <row r="243" ht="14.25" customHeight="1">
      <c r="A243" s="2" t="s">
        <v>69</v>
      </c>
      <c r="B243" s="2" t="s">
        <v>71</v>
      </c>
      <c r="C243" s="2" t="s">
        <v>35</v>
      </c>
      <c r="D243" s="2">
        <v>419.5444338208</v>
      </c>
      <c r="E243" s="2">
        <v>1.429137912</v>
      </c>
      <c r="F243" s="2">
        <v>8481.5491042776</v>
      </c>
      <c r="G243" s="2">
        <v>5.4053435314</v>
      </c>
      <c r="H243" s="2">
        <v>0.0104807665498</v>
      </c>
    </row>
    <row r="244" ht="14.25" customHeight="1">
      <c r="A244" s="2" t="s">
        <v>69</v>
      </c>
      <c r="B244" s="2" t="s">
        <v>71</v>
      </c>
      <c r="C244" s="2" t="s">
        <v>35</v>
      </c>
      <c r="D244" s="2">
        <v>152.762166954688</v>
      </c>
      <c r="E244" s="2">
        <v>0.52055384512</v>
      </c>
      <c r="F244" s="2">
        <v>3089.131954362336</v>
      </c>
      <c r="G244" s="2">
        <v>1.970889832904</v>
      </c>
      <c r="H244" s="2">
        <v>0.003820799398128</v>
      </c>
    </row>
    <row r="245" ht="14.25" customHeight="1">
      <c r="A245" s="2" t="s">
        <v>69</v>
      </c>
      <c r="B245" s="2" t="s">
        <v>71</v>
      </c>
      <c r="C245" s="2" t="s">
        <v>36</v>
      </c>
      <c r="D245" s="2">
        <v>0.6870501495</v>
      </c>
      <c r="E245" s="2">
        <v>1.77130125E-4</v>
      </c>
      <c r="F245" s="2">
        <v>10.966308755625</v>
      </c>
      <c r="G245" s="2">
        <v>0.0171537586875</v>
      </c>
      <c r="H245" s="2">
        <v>1.84021875E-4</v>
      </c>
    </row>
    <row r="246" ht="14.25" customHeight="1">
      <c r="A246" s="2" t="s">
        <v>69</v>
      </c>
      <c r="B246" s="2" t="s">
        <v>216</v>
      </c>
      <c r="C246" s="2" t="s">
        <v>34</v>
      </c>
      <c r="D246" s="2">
        <v>0.0</v>
      </c>
      <c r="E246" s="2">
        <v>0.0</v>
      </c>
      <c r="F246" s="2">
        <v>0.0</v>
      </c>
      <c r="G246" s="2">
        <v>0.0</v>
      </c>
      <c r="H246" s="2">
        <v>0.0</v>
      </c>
    </row>
    <row r="247" ht="14.25" customHeight="1">
      <c r="A247" s="2" t="s">
        <v>69</v>
      </c>
      <c r="B247" s="2" t="s">
        <v>216</v>
      </c>
      <c r="C247" s="2" t="s">
        <v>35</v>
      </c>
      <c r="D247" s="2">
        <v>0.0</v>
      </c>
      <c r="E247" s="2">
        <v>0.0</v>
      </c>
      <c r="F247" s="2">
        <v>0.0</v>
      </c>
      <c r="G247" s="2">
        <v>0.0</v>
      </c>
      <c r="H247" s="2">
        <v>0.0</v>
      </c>
    </row>
    <row r="248" ht="14.25" customHeight="1">
      <c r="A248" s="2" t="s">
        <v>69</v>
      </c>
      <c r="B248" s="2" t="s">
        <v>216</v>
      </c>
      <c r="C248" s="2" t="s">
        <v>35</v>
      </c>
      <c r="D248" s="2">
        <v>0.0</v>
      </c>
      <c r="E248" s="2">
        <v>0.0</v>
      </c>
      <c r="F248" s="2">
        <v>0.0</v>
      </c>
      <c r="G248" s="2">
        <v>0.0</v>
      </c>
      <c r="H248" s="2">
        <v>0.0</v>
      </c>
    </row>
    <row r="249" ht="14.25" customHeight="1">
      <c r="A249" s="2" t="s">
        <v>69</v>
      </c>
      <c r="B249" s="2" t="s">
        <v>216</v>
      </c>
      <c r="C249" s="2" t="s">
        <v>35</v>
      </c>
      <c r="D249" s="2">
        <v>0.0</v>
      </c>
      <c r="E249" s="2">
        <v>0.0</v>
      </c>
      <c r="F249" s="2">
        <v>0.0</v>
      </c>
      <c r="G249" s="2">
        <v>0.0</v>
      </c>
      <c r="H249" s="2">
        <v>0.0</v>
      </c>
    </row>
    <row r="250" ht="14.25" customHeight="1">
      <c r="A250" s="2" t="s">
        <v>69</v>
      </c>
      <c r="B250" s="2" t="s">
        <v>216</v>
      </c>
      <c r="C250" s="2" t="s">
        <v>36</v>
      </c>
      <c r="D250" s="2">
        <v>0.0</v>
      </c>
      <c r="E250" s="2">
        <v>0.0</v>
      </c>
      <c r="F250" s="2">
        <v>0.0</v>
      </c>
      <c r="G250" s="2">
        <v>0.0</v>
      </c>
      <c r="H250" s="2">
        <v>0.0</v>
      </c>
    </row>
    <row r="251" ht="14.25" customHeight="1">
      <c r="A251" s="2" t="s">
        <v>69</v>
      </c>
      <c r="B251" s="2" t="s">
        <v>71</v>
      </c>
      <c r="C251" s="2" t="s">
        <v>10</v>
      </c>
      <c r="D251" s="2">
        <v>5482.657083384988</v>
      </c>
      <c r="E251" s="2">
        <v>8.570194067245</v>
      </c>
      <c r="F251" s="2">
        <v>136916.8652802156</v>
      </c>
      <c r="G251" s="2">
        <v>44.4333841679915</v>
      </c>
      <c r="H251" s="2">
        <v>0.659581139807928</v>
      </c>
    </row>
    <row r="252" ht="14.25" customHeight="1">
      <c r="A252" s="2" t="s">
        <v>69</v>
      </c>
      <c r="B252" s="2" t="s">
        <v>18</v>
      </c>
      <c r="C252" s="2" t="s">
        <v>10</v>
      </c>
      <c r="D252" s="2">
        <v>0.0</v>
      </c>
      <c r="E252" s="2">
        <v>0.0</v>
      </c>
      <c r="F252" s="2">
        <v>0.0</v>
      </c>
      <c r="G252" s="2">
        <v>0.0</v>
      </c>
      <c r="H252" s="2">
        <v>0.0</v>
      </c>
    </row>
    <row r="253" ht="14.25" customHeight="1">
      <c r="A253" s="2" t="s">
        <v>72</v>
      </c>
      <c r="B253" s="2" t="s">
        <v>38</v>
      </c>
      <c r="C253" s="2" t="s">
        <v>39</v>
      </c>
      <c r="D253" s="2">
        <v>188.3624602582356</v>
      </c>
      <c r="E253" s="2">
        <v>20.67008542294791</v>
      </c>
      <c r="F253" s="2">
        <v>4502.706982134968</v>
      </c>
      <c r="G253" s="2">
        <v>4.304220934747536</v>
      </c>
      <c r="H253" s="2">
        <v>0.04193939441790957</v>
      </c>
    </row>
    <row r="254" ht="14.25" customHeight="1">
      <c r="A254" s="2" t="s">
        <v>72</v>
      </c>
      <c r="B254" s="2" t="s">
        <v>38</v>
      </c>
      <c r="C254" s="2" t="s">
        <v>16</v>
      </c>
      <c r="D254" s="2">
        <v>196.64619682176</v>
      </c>
      <c r="E254" s="2">
        <v>2.5843438152</v>
      </c>
      <c r="F254" s="2">
        <v>5132.46040994232</v>
      </c>
      <c r="G254" s="2">
        <v>25.65768366932904</v>
      </c>
      <c r="H254" s="2">
        <v>2.29327535329011</v>
      </c>
    </row>
    <row r="255" ht="14.25" customHeight="1">
      <c r="A255" s="2" t="s">
        <v>72</v>
      </c>
      <c r="B255" s="2" t="s">
        <v>38</v>
      </c>
      <c r="C255" s="2" t="s">
        <v>17</v>
      </c>
      <c r="D255" s="2">
        <v>63.97224876</v>
      </c>
      <c r="E255" s="2">
        <v>0.16771231785</v>
      </c>
      <c r="F255" s="2">
        <v>2193.243234555</v>
      </c>
      <c r="G255" s="2">
        <v>1.240964286</v>
      </c>
      <c r="H255" s="2">
        <v>0.00397827882</v>
      </c>
    </row>
    <row r="256" ht="14.25" customHeight="1">
      <c r="A256" s="2" t="s">
        <v>72</v>
      </c>
      <c r="B256" s="2" t="s">
        <v>211</v>
      </c>
      <c r="C256" s="2" t="s">
        <v>39</v>
      </c>
      <c r="D256" s="2">
        <v>0.0</v>
      </c>
      <c r="E256" s="2">
        <v>0.0</v>
      </c>
      <c r="F256" s="2">
        <v>0.0</v>
      </c>
      <c r="G256" s="2">
        <v>0.0</v>
      </c>
      <c r="H256" s="2">
        <v>0.0</v>
      </c>
    </row>
    <row r="257" ht="14.25" customHeight="1">
      <c r="A257" s="2" t="s">
        <v>72</v>
      </c>
      <c r="B257" s="2" t="s">
        <v>211</v>
      </c>
      <c r="C257" s="2" t="s">
        <v>16</v>
      </c>
      <c r="D257" s="2">
        <v>0.0</v>
      </c>
      <c r="E257" s="2">
        <v>0.0</v>
      </c>
      <c r="F257" s="2">
        <v>0.0</v>
      </c>
      <c r="G257" s="2">
        <v>0.0</v>
      </c>
      <c r="H257" s="2">
        <v>0.0</v>
      </c>
    </row>
    <row r="258" ht="14.25" customHeight="1">
      <c r="A258" s="2" t="s">
        <v>72</v>
      </c>
      <c r="B258" s="2" t="s">
        <v>211</v>
      </c>
      <c r="C258" s="2" t="s">
        <v>17</v>
      </c>
      <c r="D258" s="2">
        <v>0.0</v>
      </c>
      <c r="E258" s="2">
        <v>0.0</v>
      </c>
      <c r="F258" s="2">
        <v>0.0</v>
      </c>
      <c r="G258" s="2">
        <v>0.0</v>
      </c>
      <c r="H258" s="2">
        <v>0.0</v>
      </c>
    </row>
    <row r="259" ht="14.25" customHeight="1">
      <c r="A259" s="2" t="s">
        <v>72</v>
      </c>
      <c r="B259" s="2" t="s">
        <v>38</v>
      </c>
      <c r="C259" s="2" t="s">
        <v>10</v>
      </c>
      <c r="D259" s="2">
        <v>448.9809058399956</v>
      </c>
      <c r="E259" s="2">
        <v>23.42214155599791</v>
      </c>
      <c r="F259" s="2">
        <v>11828.41062663229</v>
      </c>
      <c r="G259" s="2">
        <v>31.20286889007658</v>
      </c>
      <c r="H259" s="2">
        <v>2.33919302652802</v>
      </c>
    </row>
    <row r="260" ht="14.25" customHeight="1">
      <c r="A260" s="2" t="s">
        <v>72</v>
      </c>
      <c r="B260" s="2" t="s">
        <v>18</v>
      </c>
      <c r="C260" s="2" t="s">
        <v>10</v>
      </c>
      <c r="D260" s="2">
        <v>0.0</v>
      </c>
      <c r="E260" s="2">
        <v>0.0</v>
      </c>
      <c r="F260" s="2">
        <v>0.0</v>
      </c>
      <c r="G260" s="2">
        <v>0.0</v>
      </c>
      <c r="H260" s="2">
        <v>0.0</v>
      </c>
    </row>
    <row r="261" ht="14.25" customHeight="1">
      <c r="A261" s="2" t="s">
        <v>73</v>
      </c>
      <c r="B261" s="2" t="s">
        <v>21</v>
      </c>
      <c r="C261" s="2" t="s">
        <v>10</v>
      </c>
      <c r="D261" s="2">
        <v>0.0</v>
      </c>
      <c r="E261" s="2">
        <v>0.0</v>
      </c>
      <c r="F261" s="2">
        <v>0.0</v>
      </c>
      <c r="G261" s="2">
        <v>0.0</v>
      </c>
      <c r="H261" s="2">
        <v>0.0</v>
      </c>
    </row>
    <row r="262" ht="14.25" customHeight="1">
      <c r="A262" s="2" t="s">
        <v>73</v>
      </c>
      <c r="B262" s="2" t="s">
        <v>22</v>
      </c>
      <c r="C262" s="2" t="s">
        <v>10</v>
      </c>
      <c r="D262" s="2">
        <v>0.0</v>
      </c>
      <c r="E262" s="2">
        <v>0.0</v>
      </c>
      <c r="F262" s="2">
        <v>0.0</v>
      </c>
      <c r="G262" s="2">
        <v>0.0</v>
      </c>
      <c r="H262" s="2">
        <v>0.0</v>
      </c>
    </row>
    <row r="263" ht="14.25" customHeight="1">
      <c r="A263" s="2" t="s">
        <v>73</v>
      </c>
      <c r="B263" s="2" t="s">
        <v>23</v>
      </c>
      <c r="C263" s="2" t="s">
        <v>24</v>
      </c>
      <c r="D263" s="2">
        <v>315.9741026736</v>
      </c>
      <c r="E263" s="2">
        <v>0.402603648</v>
      </c>
      <c r="F263" s="2">
        <v>8125.8583930392</v>
      </c>
      <c r="G263" s="2">
        <v>2.3212928298</v>
      </c>
      <c r="H263" s="2">
        <v>0.0427198225191</v>
      </c>
    </row>
    <row r="264" ht="14.25" customHeight="1">
      <c r="A264" s="2" t="s">
        <v>73</v>
      </c>
      <c r="B264" s="2" t="s">
        <v>23</v>
      </c>
      <c r="C264" s="2" t="s">
        <v>24</v>
      </c>
      <c r="D264" s="2">
        <v>42.9689301656</v>
      </c>
      <c r="E264" s="2">
        <v>0.061353737</v>
      </c>
      <c r="F264" s="2">
        <v>1200.5238831732</v>
      </c>
      <c r="G264" s="2">
        <v>0.3804637573</v>
      </c>
      <c r="H264" s="2">
        <v>0.00708076641985</v>
      </c>
    </row>
    <row r="265" ht="14.25" customHeight="1">
      <c r="A265" s="2" t="s">
        <v>73</v>
      </c>
      <c r="B265" s="2" t="s">
        <v>23</v>
      </c>
      <c r="C265" s="2" t="s">
        <v>25</v>
      </c>
      <c r="D265" s="2">
        <v>14.8975072068</v>
      </c>
      <c r="E265" s="2">
        <v>0.050680098</v>
      </c>
      <c r="F265" s="2">
        <v>300.8508104196</v>
      </c>
      <c r="G265" s="2">
        <v>0.1909476669</v>
      </c>
      <c r="H265" s="2">
        <v>3.7048925955E-4</v>
      </c>
    </row>
    <row r="266" ht="14.25" customHeight="1">
      <c r="A266" s="2" t="s">
        <v>73</v>
      </c>
      <c r="B266" s="2" t="s">
        <v>23</v>
      </c>
      <c r="C266" s="2" t="s">
        <v>32</v>
      </c>
      <c r="D266" s="2">
        <v>2.356985736</v>
      </c>
      <c r="E266" s="2">
        <v>0.0074377275</v>
      </c>
      <c r="F266" s="2">
        <v>62.554882845</v>
      </c>
      <c r="G266" s="2">
        <v>0.040502565</v>
      </c>
      <c r="H266" s="2">
        <v>1.958865E-4</v>
      </c>
    </row>
    <row r="267" ht="14.25" customHeight="1">
      <c r="A267" s="2" t="s">
        <v>73</v>
      </c>
      <c r="B267" s="2" t="s">
        <v>23</v>
      </c>
      <c r="C267" s="2" t="s">
        <v>32</v>
      </c>
      <c r="D267" s="2">
        <v>10.01925596175</v>
      </c>
      <c r="E267" s="2">
        <v>0.03369961425</v>
      </c>
      <c r="F267" s="2">
        <v>275.0595427425</v>
      </c>
      <c r="G267" s="2">
        <v>0.20452890825</v>
      </c>
      <c r="H267" s="2">
        <v>9.510735E-4</v>
      </c>
    </row>
    <row r="268" ht="14.25" customHeight="1">
      <c r="A268" s="2" t="s">
        <v>73</v>
      </c>
      <c r="B268" s="2" t="s">
        <v>23</v>
      </c>
      <c r="C268" s="2" t="s">
        <v>26</v>
      </c>
      <c r="D268" s="2">
        <v>20.95031642055</v>
      </c>
      <c r="E268" s="2">
        <v>0.052119662540625</v>
      </c>
      <c r="F268" s="2">
        <v>497.9967117054375</v>
      </c>
      <c r="G268" s="2">
        <v>0.36020457684375</v>
      </c>
      <c r="H268" s="2">
        <v>0.00140119041375</v>
      </c>
    </row>
    <row r="269" ht="14.25" customHeight="1">
      <c r="A269" s="2" t="s">
        <v>73</v>
      </c>
      <c r="B269" s="2" t="s">
        <v>209</v>
      </c>
      <c r="C269" s="2" t="s">
        <v>24</v>
      </c>
      <c r="D269" s="2">
        <v>0.0</v>
      </c>
      <c r="E269" s="2">
        <v>0.0</v>
      </c>
      <c r="F269" s="2">
        <v>0.0</v>
      </c>
      <c r="G269" s="2">
        <v>0.0</v>
      </c>
      <c r="H269" s="2">
        <v>0.0</v>
      </c>
    </row>
    <row r="270" ht="14.25" customHeight="1">
      <c r="A270" s="2" t="s">
        <v>73</v>
      </c>
      <c r="B270" s="2" t="s">
        <v>209</v>
      </c>
      <c r="C270" s="2" t="s">
        <v>24</v>
      </c>
      <c r="D270" s="2">
        <v>0.0</v>
      </c>
      <c r="E270" s="2">
        <v>0.0</v>
      </c>
      <c r="F270" s="2">
        <v>0.0</v>
      </c>
      <c r="G270" s="2">
        <v>0.0</v>
      </c>
      <c r="H270" s="2">
        <v>0.0</v>
      </c>
    </row>
    <row r="271" ht="14.25" customHeight="1">
      <c r="A271" s="2" t="s">
        <v>73</v>
      </c>
      <c r="B271" s="2" t="s">
        <v>209</v>
      </c>
      <c r="C271" s="2" t="s">
        <v>25</v>
      </c>
      <c r="D271" s="2">
        <v>0.0</v>
      </c>
      <c r="E271" s="2">
        <v>0.0</v>
      </c>
      <c r="F271" s="2">
        <v>0.0</v>
      </c>
      <c r="G271" s="2">
        <v>0.0</v>
      </c>
      <c r="H271" s="2">
        <v>0.0</v>
      </c>
    </row>
    <row r="272" ht="14.25" customHeight="1">
      <c r="A272" s="2" t="s">
        <v>73</v>
      </c>
      <c r="B272" s="2" t="s">
        <v>209</v>
      </c>
      <c r="C272" s="2" t="s">
        <v>32</v>
      </c>
      <c r="D272" s="2">
        <v>0.0</v>
      </c>
      <c r="E272" s="2">
        <v>0.0</v>
      </c>
      <c r="F272" s="2">
        <v>0.0</v>
      </c>
      <c r="G272" s="2">
        <v>0.0</v>
      </c>
      <c r="H272" s="2">
        <v>0.0</v>
      </c>
    </row>
    <row r="273" ht="14.25" customHeight="1">
      <c r="A273" s="2" t="s">
        <v>73</v>
      </c>
      <c r="B273" s="2" t="s">
        <v>209</v>
      </c>
      <c r="C273" s="2" t="s">
        <v>32</v>
      </c>
      <c r="D273" s="2">
        <v>0.0</v>
      </c>
      <c r="E273" s="2">
        <v>0.0</v>
      </c>
      <c r="F273" s="2">
        <v>0.0</v>
      </c>
      <c r="G273" s="2">
        <v>0.0</v>
      </c>
      <c r="H273" s="2">
        <v>0.0</v>
      </c>
    </row>
    <row r="274" ht="14.25" customHeight="1">
      <c r="A274" s="2" t="s">
        <v>73</v>
      </c>
      <c r="B274" s="2" t="s">
        <v>209</v>
      </c>
      <c r="C274" s="2" t="s">
        <v>26</v>
      </c>
      <c r="D274" s="2">
        <v>0.0</v>
      </c>
      <c r="E274" s="2">
        <v>0.0</v>
      </c>
      <c r="F274" s="2">
        <v>0.0</v>
      </c>
      <c r="G274" s="2">
        <v>0.0</v>
      </c>
      <c r="H274" s="2">
        <v>0.0</v>
      </c>
    </row>
    <row r="275" ht="14.25" customHeight="1">
      <c r="A275" s="2" t="s">
        <v>73</v>
      </c>
      <c r="B275" s="2" t="s">
        <v>23</v>
      </c>
      <c r="C275" s="2" t="s">
        <v>10</v>
      </c>
      <c r="D275" s="2">
        <v>407.1670981643</v>
      </c>
      <c r="E275" s="2">
        <v>0.607894487290625</v>
      </c>
      <c r="F275" s="2">
        <v>10462.84422392494</v>
      </c>
      <c r="G275" s="2">
        <v>3.49794030409375</v>
      </c>
      <c r="H275" s="2">
        <v>0.05271922861225</v>
      </c>
    </row>
    <row r="276" ht="14.25" customHeight="1">
      <c r="A276" s="2" t="s">
        <v>73</v>
      </c>
      <c r="B276" s="2" t="s">
        <v>29</v>
      </c>
      <c r="C276" s="2" t="s">
        <v>10</v>
      </c>
      <c r="D276" s="2">
        <v>0.0</v>
      </c>
      <c r="E276" s="2">
        <v>0.0</v>
      </c>
      <c r="F276" s="2">
        <v>0.0</v>
      </c>
      <c r="G276" s="2">
        <v>0.0</v>
      </c>
      <c r="H276" s="2">
        <v>0.0</v>
      </c>
    </row>
    <row r="277" ht="14.25" customHeight="1">
      <c r="A277" s="2" t="s">
        <v>73</v>
      </c>
      <c r="B277" s="2" t="s">
        <v>18</v>
      </c>
      <c r="C277" s="2" t="s">
        <v>10</v>
      </c>
      <c r="D277" s="2">
        <v>0.0</v>
      </c>
      <c r="E277" s="2">
        <v>0.0</v>
      </c>
      <c r="F277" s="2">
        <v>0.0</v>
      </c>
      <c r="G277" s="2">
        <v>0.0</v>
      </c>
      <c r="H277" s="2">
        <v>0.0</v>
      </c>
    </row>
    <row r="278" ht="14.25" customHeight="1">
      <c r="A278" s="2" t="s">
        <v>74</v>
      </c>
      <c r="B278" s="2" t="s">
        <v>23</v>
      </c>
      <c r="C278" s="2" t="s">
        <v>24</v>
      </c>
      <c r="D278" s="2">
        <v>210.6494017824</v>
      </c>
      <c r="E278" s="2">
        <v>0.268402432</v>
      </c>
      <c r="F278" s="2">
        <v>5417.2389286928</v>
      </c>
      <c r="G278" s="2">
        <v>1.5475285532</v>
      </c>
      <c r="H278" s="2">
        <v>0.0284798816794</v>
      </c>
    </row>
    <row r="279" ht="14.25" customHeight="1">
      <c r="A279" s="2" t="s">
        <v>74</v>
      </c>
      <c r="B279" s="2" t="s">
        <v>23</v>
      </c>
      <c r="C279" s="2" t="s">
        <v>24</v>
      </c>
      <c r="D279" s="2">
        <v>25.78135809936</v>
      </c>
      <c r="E279" s="2">
        <v>0.0368122422</v>
      </c>
      <c r="F279" s="2">
        <v>720.31432990392</v>
      </c>
      <c r="G279" s="2">
        <v>0.22827825438</v>
      </c>
      <c r="H279" s="2">
        <v>0.00424845985191</v>
      </c>
    </row>
    <row r="280" ht="14.25" customHeight="1">
      <c r="A280" s="2" t="s">
        <v>74</v>
      </c>
      <c r="B280" s="2" t="s">
        <v>23</v>
      </c>
      <c r="C280" s="2" t="s">
        <v>25</v>
      </c>
      <c r="D280" s="2">
        <v>7.94533717696</v>
      </c>
      <c r="E280" s="2">
        <v>0.0270293856</v>
      </c>
      <c r="F280" s="2">
        <v>160.45376555712</v>
      </c>
      <c r="G280" s="2">
        <v>0.10183875568</v>
      </c>
      <c r="H280" s="2">
        <v>1.9759427176E-4</v>
      </c>
    </row>
    <row r="281" ht="14.25" customHeight="1">
      <c r="A281" s="2" t="s">
        <v>74</v>
      </c>
      <c r="B281" s="2" t="s">
        <v>23</v>
      </c>
      <c r="C281" s="2" t="s">
        <v>25</v>
      </c>
      <c r="D281" s="2">
        <v>6.11775947055</v>
      </c>
      <c r="E281" s="2">
        <v>0.0176610669255</v>
      </c>
      <c r="F281" s="2">
        <v>149.7596493145915</v>
      </c>
      <c r="G281" s="2">
        <v>0.0760850820315</v>
      </c>
      <c r="H281" s="2">
        <v>1.4416642203E-4</v>
      </c>
    </row>
    <row r="282" ht="14.25" customHeight="1">
      <c r="A282" s="2" t="s">
        <v>74</v>
      </c>
      <c r="B282" s="2" t="s">
        <v>23</v>
      </c>
      <c r="C282" s="2" t="s">
        <v>31</v>
      </c>
      <c r="D282" s="2">
        <v>6.769516873408</v>
      </c>
      <c r="E282" s="2">
        <v>0.14311306432</v>
      </c>
      <c r="F282" s="2">
        <v>181.929513722176</v>
      </c>
      <c r="G282" s="2">
        <v>0.098503805264</v>
      </c>
      <c r="H282" s="2">
        <v>2.01939305448E-4</v>
      </c>
    </row>
    <row r="283" ht="14.25" customHeight="1">
      <c r="A283" s="2" t="s">
        <v>74</v>
      </c>
      <c r="B283" s="2" t="s">
        <v>23</v>
      </c>
      <c r="C283" s="2" t="s">
        <v>32</v>
      </c>
      <c r="D283" s="2">
        <v>6.1281629136</v>
      </c>
      <c r="E283" s="2">
        <v>0.0193380915</v>
      </c>
      <c r="F283" s="2">
        <v>162.642695397</v>
      </c>
      <c r="G283" s="2">
        <v>0.105306669</v>
      </c>
      <c r="H283" s="2">
        <v>5.093049E-4</v>
      </c>
    </row>
    <row r="284" ht="14.25" customHeight="1">
      <c r="A284" s="2" t="s">
        <v>74</v>
      </c>
      <c r="B284" s="2" t="s">
        <v>23</v>
      </c>
      <c r="C284" s="2" t="s">
        <v>32</v>
      </c>
      <c r="D284" s="2">
        <v>2.357471991</v>
      </c>
      <c r="E284" s="2">
        <v>0.007929321</v>
      </c>
      <c r="F284" s="2">
        <v>64.71989241</v>
      </c>
      <c r="G284" s="2">
        <v>0.048124449</v>
      </c>
      <c r="H284" s="2">
        <v>2.23782E-4</v>
      </c>
    </row>
    <row r="285" ht="14.25" customHeight="1">
      <c r="A285" s="2" t="s">
        <v>74</v>
      </c>
      <c r="B285" s="2" t="s">
        <v>23</v>
      </c>
      <c r="C285" s="2" t="s">
        <v>26</v>
      </c>
      <c r="D285" s="2">
        <v>72.33632781394375</v>
      </c>
      <c r="E285" s="2">
        <v>0.2057340623</v>
      </c>
      <c r="F285" s="2">
        <v>1514.642734569375</v>
      </c>
      <c r="G285" s="2">
        <v>1.0767921446375</v>
      </c>
      <c r="H285" s="2">
        <v>0.0050597979875</v>
      </c>
    </row>
    <row r="286" ht="14.25" customHeight="1">
      <c r="A286" s="2" t="s">
        <v>74</v>
      </c>
      <c r="B286" s="2" t="s">
        <v>23</v>
      </c>
      <c r="C286" s="2" t="s">
        <v>33</v>
      </c>
      <c r="D286" s="2">
        <v>23.56094468814</v>
      </c>
      <c r="E286" s="2">
        <v>0.30245311908</v>
      </c>
      <c r="F286" s="2">
        <v>3470.9979050004</v>
      </c>
      <c r="G286" s="2">
        <v>0.94427088312</v>
      </c>
      <c r="H286" s="2">
        <v>0.003417899724</v>
      </c>
    </row>
    <row r="287" ht="14.25" customHeight="1">
      <c r="A287" s="2" t="s">
        <v>74</v>
      </c>
      <c r="B287" s="2" t="s">
        <v>209</v>
      </c>
      <c r="C287" s="2" t="s">
        <v>24</v>
      </c>
      <c r="D287" s="2">
        <v>0.0</v>
      </c>
      <c r="E287" s="2">
        <v>0.0</v>
      </c>
      <c r="F287" s="2">
        <v>0.0</v>
      </c>
      <c r="G287" s="2">
        <v>0.0</v>
      </c>
      <c r="H287" s="2">
        <v>0.0</v>
      </c>
    </row>
    <row r="288" ht="14.25" customHeight="1">
      <c r="A288" s="2" t="s">
        <v>74</v>
      </c>
      <c r="B288" s="2" t="s">
        <v>209</v>
      </c>
      <c r="C288" s="2" t="s">
        <v>24</v>
      </c>
      <c r="D288" s="2">
        <v>0.0</v>
      </c>
      <c r="E288" s="2">
        <v>0.0</v>
      </c>
      <c r="F288" s="2">
        <v>0.0</v>
      </c>
      <c r="G288" s="2">
        <v>0.0</v>
      </c>
      <c r="H288" s="2">
        <v>0.0</v>
      </c>
    </row>
    <row r="289" ht="14.25" customHeight="1">
      <c r="A289" s="2" t="s">
        <v>74</v>
      </c>
      <c r="B289" s="2" t="s">
        <v>209</v>
      </c>
      <c r="C289" s="2" t="s">
        <v>25</v>
      </c>
      <c r="D289" s="2">
        <v>0.0</v>
      </c>
      <c r="E289" s="2">
        <v>0.0</v>
      </c>
      <c r="F289" s="2">
        <v>0.0</v>
      </c>
      <c r="G289" s="2">
        <v>0.0</v>
      </c>
      <c r="H289" s="2">
        <v>0.0</v>
      </c>
    </row>
    <row r="290" ht="14.25" customHeight="1">
      <c r="A290" s="2" t="s">
        <v>74</v>
      </c>
      <c r="B290" s="2" t="s">
        <v>209</v>
      </c>
      <c r="C290" s="2" t="s">
        <v>25</v>
      </c>
      <c r="D290" s="2">
        <v>0.0</v>
      </c>
      <c r="E290" s="2">
        <v>0.0</v>
      </c>
      <c r="F290" s="2">
        <v>0.0</v>
      </c>
      <c r="G290" s="2">
        <v>0.0</v>
      </c>
      <c r="H290" s="2">
        <v>0.0</v>
      </c>
    </row>
    <row r="291" ht="14.25" customHeight="1">
      <c r="A291" s="2" t="s">
        <v>74</v>
      </c>
      <c r="B291" s="2" t="s">
        <v>209</v>
      </c>
      <c r="C291" s="2" t="s">
        <v>31</v>
      </c>
      <c r="D291" s="2">
        <v>0.0</v>
      </c>
      <c r="E291" s="2">
        <v>0.0</v>
      </c>
      <c r="F291" s="2">
        <v>0.0</v>
      </c>
      <c r="G291" s="2">
        <v>0.0</v>
      </c>
      <c r="H291" s="2">
        <v>0.0</v>
      </c>
    </row>
    <row r="292" ht="14.25" customHeight="1">
      <c r="A292" s="2" t="s">
        <v>74</v>
      </c>
      <c r="B292" s="2" t="s">
        <v>209</v>
      </c>
      <c r="C292" s="2" t="s">
        <v>32</v>
      </c>
      <c r="D292" s="2">
        <v>0.0</v>
      </c>
      <c r="E292" s="2">
        <v>0.0</v>
      </c>
      <c r="F292" s="2">
        <v>0.0</v>
      </c>
      <c r="G292" s="2">
        <v>0.0</v>
      </c>
      <c r="H292" s="2">
        <v>0.0</v>
      </c>
    </row>
    <row r="293" ht="14.25" customHeight="1">
      <c r="A293" s="2" t="s">
        <v>74</v>
      </c>
      <c r="B293" s="2" t="s">
        <v>209</v>
      </c>
      <c r="C293" s="2" t="s">
        <v>32</v>
      </c>
      <c r="D293" s="2">
        <v>0.0</v>
      </c>
      <c r="E293" s="2">
        <v>0.0</v>
      </c>
      <c r="F293" s="2">
        <v>0.0</v>
      </c>
      <c r="G293" s="2">
        <v>0.0</v>
      </c>
      <c r="H293" s="2">
        <v>0.0</v>
      </c>
    </row>
    <row r="294" ht="14.25" customHeight="1">
      <c r="A294" s="2" t="s">
        <v>74</v>
      </c>
      <c r="B294" s="2" t="s">
        <v>209</v>
      </c>
      <c r="C294" s="2" t="s">
        <v>26</v>
      </c>
      <c r="D294" s="2">
        <v>0.0</v>
      </c>
      <c r="E294" s="2">
        <v>0.0</v>
      </c>
      <c r="F294" s="2">
        <v>0.0</v>
      </c>
      <c r="G294" s="2">
        <v>0.0</v>
      </c>
      <c r="H294" s="2">
        <v>0.0</v>
      </c>
    </row>
    <row r="295" ht="14.25" customHeight="1">
      <c r="A295" s="2" t="s">
        <v>74</v>
      </c>
      <c r="B295" s="2" t="s">
        <v>209</v>
      </c>
      <c r="C295" s="2" t="s">
        <v>33</v>
      </c>
      <c r="D295" s="2">
        <v>0.0</v>
      </c>
      <c r="E295" s="2">
        <v>0.0</v>
      </c>
      <c r="F295" s="2">
        <v>0.0</v>
      </c>
      <c r="G295" s="2">
        <v>0.0</v>
      </c>
      <c r="H295" s="2">
        <v>0.0</v>
      </c>
    </row>
    <row r="296" ht="14.25" customHeight="1">
      <c r="A296" s="2" t="s">
        <v>74</v>
      </c>
      <c r="B296" s="2" t="s">
        <v>23</v>
      </c>
      <c r="C296" s="2" t="s">
        <v>10</v>
      </c>
      <c r="D296" s="2">
        <v>361.6462808093618</v>
      </c>
      <c r="E296" s="2">
        <v>1.0284727849255</v>
      </c>
      <c r="F296" s="2">
        <v>11842.69941456738</v>
      </c>
      <c r="G296" s="2">
        <v>4.226728596313</v>
      </c>
      <c r="H296" s="2">
        <v>0.042482826142048</v>
      </c>
    </row>
    <row r="297" ht="14.25" customHeight="1">
      <c r="A297" s="2" t="s">
        <v>74</v>
      </c>
      <c r="B297" s="2" t="s">
        <v>29</v>
      </c>
      <c r="C297" s="2" t="s">
        <v>34</v>
      </c>
      <c r="D297" s="2">
        <v>105.26466315696</v>
      </c>
      <c r="E297" s="2">
        <v>0.1340412584</v>
      </c>
      <c r="F297" s="2">
        <v>2707.61811867712</v>
      </c>
      <c r="G297" s="2">
        <v>0.77365038568</v>
      </c>
      <c r="H297" s="2">
        <v>0.01423955427176</v>
      </c>
    </row>
    <row r="298" ht="14.25" customHeight="1">
      <c r="A298" s="2" t="s">
        <v>74</v>
      </c>
      <c r="B298" s="2" t="s">
        <v>29</v>
      </c>
      <c r="C298" s="2" t="s">
        <v>34</v>
      </c>
      <c r="D298" s="2">
        <v>343.51129038784</v>
      </c>
      <c r="E298" s="2">
        <v>0.4901900656</v>
      </c>
      <c r="F298" s="2">
        <v>9600.18568270848</v>
      </c>
      <c r="G298" s="2">
        <v>3.04325449472</v>
      </c>
      <c r="H298" s="2">
        <v>0.05664458508704</v>
      </c>
    </row>
    <row r="299" ht="14.25" customHeight="1">
      <c r="A299" s="2" t="s">
        <v>74</v>
      </c>
      <c r="B299" s="2" t="s">
        <v>29</v>
      </c>
      <c r="C299" s="2" t="s">
        <v>35</v>
      </c>
      <c r="D299" s="2">
        <v>14.80745060544</v>
      </c>
      <c r="E299" s="2">
        <v>0.0504401616</v>
      </c>
      <c r="F299" s="2">
        <v>299.34879191568</v>
      </c>
      <c r="G299" s="2">
        <v>0.19077683052</v>
      </c>
      <c r="H299" s="2">
        <v>3.6990940764E-4</v>
      </c>
    </row>
    <row r="300" ht="14.25" customHeight="1">
      <c r="A300" s="2" t="s">
        <v>74</v>
      </c>
      <c r="B300" s="2" t="s">
        <v>29</v>
      </c>
      <c r="C300" s="2" t="s">
        <v>35</v>
      </c>
      <c r="D300" s="2">
        <v>39.48653494784</v>
      </c>
      <c r="E300" s="2">
        <v>0.1345070976</v>
      </c>
      <c r="F300" s="2">
        <v>798.26344510848</v>
      </c>
      <c r="G300" s="2">
        <v>0.50873821472</v>
      </c>
      <c r="H300" s="2">
        <v>9.8642508704E-4</v>
      </c>
    </row>
    <row r="301" ht="14.25" customHeight="1">
      <c r="A301" s="2" t="s">
        <v>74</v>
      </c>
      <c r="B301" s="2" t="s">
        <v>29</v>
      </c>
      <c r="C301" s="2" t="s">
        <v>35</v>
      </c>
      <c r="D301" s="2">
        <v>9.855623674496</v>
      </c>
      <c r="E301" s="2">
        <v>0.03358411904</v>
      </c>
      <c r="F301" s="2">
        <v>199.298835765312</v>
      </c>
      <c r="G301" s="2">
        <v>0.127154182768</v>
      </c>
      <c r="H301" s="2">
        <v>2.46503186976E-4</v>
      </c>
    </row>
    <row r="302" ht="14.25" customHeight="1">
      <c r="A302" s="2" t="s">
        <v>74</v>
      </c>
      <c r="B302" s="2" t="s">
        <v>29</v>
      </c>
      <c r="C302" s="2" t="s">
        <v>36</v>
      </c>
      <c r="D302" s="2">
        <v>0.1374100299</v>
      </c>
      <c r="E302" s="2">
        <v>3.5426025E-5</v>
      </c>
      <c r="F302" s="2">
        <v>2.193261751125</v>
      </c>
      <c r="G302" s="2">
        <v>0.0034307517375</v>
      </c>
      <c r="H302" s="2">
        <v>3.6804375E-5</v>
      </c>
    </row>
    <row r="303" ht="14.25" customHeight="1">
      <c r="A303" s="2" t="s">
        <v>74</v>
      </c>
      <c r="B303" s="2" t="s">
        <v>210</v>
      </c>
      <c r="C303" s="2" t="s">
        <v>34</v>
      </c>
      <c r="D303" s="2">
        <v>0.0</v>
      </c>
      <c r="E303" s="2">
        <v>0.0</v>
      </c>
      <c r="F303" s="2">
        <v>0.0</v>
      </c>
      <c r="G303" s="2">
        <v>0.0</v>
      </c>
      <c r="H303" s="2">
        <v>0.0</v>
      </c>
    </row>
    <row r="304" ht="14.25" customHeight="1">
      <c r="A304" s="2" t="s">
        <v>74</v>
      </c>
      <c r="B304" s="2" t="s">
        <v>210</v>
      </c>
      <c r="C304" s="2" t="s">
        <v>34</v>
      </c>
      <c r="D304" s="2">
        <v>0.0</v>
      </c>
      <c r="E304" s="2">
        <v>0.0</v>
      </c>
      <c r="F304" s="2">
        <v>0.0</v>
      </c>
      <c r="G304" s="2">
        <v>0.0</v>
      </c>
      <c r="H304" s="2">
        <v>0.0</v>
      </c>
    </row>
    <row r="305" ht="14.25" customHeight="1">
      <c r="A305" s="2" t="s">
        <v>74</v>
      </c>
      <c r="B305" s="2" t="s">
        <v>210</v>
      </c>
      <c r="C305" s="2" t="s">
        <v>35</v>
      </c>
      <c r="D305" s="2">
        <v>0.0</v>
      </c>
      <c r="E305" s="2">
        <v>0.0</v>
      </c>
      <c r="F305" s="2">
        <v>0.0</v>
      </c>
      <c r="G305" s="2">
        <v>0.0</v>
      </c>
      <c r="H305" s="2">
        <v>0.0</v>
      </c>
    </row>
    <row r="306" ht="14.25" customHeight="1">
      <c r="A306" s="2" t="s">
        <v>74</v>
      </c>
      <c r="B306" s="2" t="s">
        <v>210</v>
      </c>
      <c r="C306" s="2" t="s">
        <v>35</v>
      </c>
      <c r="D306" s="2">
        <v>0.0</v>
      </c>
      <c r="E306" s="2">
        <v>0.0</v>
      </c>
      <c r="F306" s="2">
        <v>0.0</v>
      </c>
      <c r="G306" s="2">
        <v>0.0</v>
      </c>
      <c r="H306" s="2">
        <v>0.0</v>
      </c>
    </row>
    <row r="307" ht="14.25" customHeight="1">
      <c r="A307" s="2" t="s">
        <v>74</v>
      </c>
      <c r="B307" s="2" t="s">
        <v>210</v>
      </c>
      <c r="C307" s="2" t="s">
        <v>35</v>
      </c>
      <c r="D307" s="2">
        <v>0.0</v>
      </c>
      <c r="E307" s="2">
        <v>0.0</v>
      </c>
      <c r="F307" s="2">
        <v>0.0</v>
      </c>
      <c r="G307" s="2">
        <v>0.0</v>
      </c>
      <c r="H307" s="2">
        <v>0.0</v>
      </c>
    </row>
    <row r="308" ht="14.25" customHeight="1">
      <c r="A308" s="2" t="s">
        <v>74</v>
      </c>
      <c r="B308" s="2" t="s">
        <v>210</v>
      </c>
      <c r="C308" s="2" t="s">
        <v>36</v>
      </c>
      <c r="D308" s="2">
        <v>0.0</v>
      </c>
      <c r="E308" s="2">
        <v>0.0</v>
      </c>
      <c r="F308" s="2">
        <v>0.0</v>
      </c>
      <c r="G308" s="2">
        <v>0.0</v>
      </c>
      <c r="H308" s="2">
        <v>0.0</v>
      </c>
    </row>
    <row r="309" ht="14.25" customHeight="1">
      <c r="A309" s="2" t="s">
        <v>74</v>
      </c>
      <c r="B309" s="2" t="s">
        <v>29</v>
      </c>
      <c r="C309" s="2" t="s">
        <v>10</v>
      </c>
      <c r="D309" s="2">
        <v>513.062972802476</v>
      </c>
      <c r="E309" s="2">
        <v>0.842798128265</v>
      </c>
      <c r="F309" s="2">
        <v>13606.9081359262</v>
      </c>
      <c r="G309" s="2">
        <v>4.6470048601455</v>
      </c>
      <c r="H309" s="2">
        <v>0.072523781415456</v>
      </c>
    </row>
    <row r="310" ht="14.25" customHeight="1">
      <c r="A310" s="2" t="s">
        <v>74</v>
      </c>
      <c r="B310" s="2" t="s">
        <v>18</v>
      </c>
      <c r="C310" s="2" t="s">
        <v>10</v>
      </c>
      <c r="D310" s="2">
        <v>0.0</v>
      </c>
      <c r="E310" s="2">
        <v>0.0</v>
      </c>
      <c r="F310" s="2">
        <v>0.0</v>
      </c>
      <c r="G310" s="2">
        <v>0.0</v>
      </c>
      <c r="H310" s="2">
        <v>0.0</v>
      </c>
    </row>
    <row r="311" ht="14.25" customHeight="1">
      <c r="A311" s="2" t="s">
        <v>75</v>
      </c>
      <c r="B311" s="2" t="s">
        <v>23</v>
      </c>
      <c r="C311" s="2" t="s">
        <v>24</v>
      </c>
      <c r="D311" s="2">
        <v>2527.7928213888</v>
      </c>
      <c r="E311" s="2">
        <v>3.220829184</v>
      </c>
      <c r="F311" s="2">
        <v>65006.8671443136</v>
      </c>
      <c r="G311" s="2">
        <v>18.5703426384</v>
      </c>
      <c r="H311" s="2">
        <v>0.3417585801528</v>
      </c>
    </row>
    <row r="312" ht="14.25" customHeight="1">
      <c r="A312" s="2" t="s">
        <v>75</v>
      </c>
      <c r="B312" s="2" t="s">
        <v>23</v>
      </c>
      <c r="C312" s="2" t="s">
        <v>24</v>
      </c>
      <c r="D312" s="2">
        <v>472.6582318216</v>
      </c>
      <c r="E312" s="2">
        <v>0.674891107</v>
      </c>
      <c r="F312" s="2">
        <v>13205.7627149052</v>
      </c>
      <c r="G312" s="2">
        <v>4.1851013303</v>
      </c>
      <c r="H312" s="2">
        <v>0.07788843061835</v>
      </c>
    </row>
    <row r="313" ht="14.25" customHeight="1">
      <c r="A313" s="2" t="s">
        <v>75</v>
      </c>
      <c r="B313" s="2" t="s">
        <v>23</v>
      </c>
      <c r="C313" s="2" t="s">
        <v>25</v>
      </c>
      <c r="D313" s="2">
        <v>114.2142219188</v>
      </c>
      <c r="E313" s="2">
        <v>0.388547418</v>
      </c>
      <c r="F313" s="2">
        <v>2306.5228798836</v>
      </c>
      <c r="G313" s="2">
        <v>1.4639321129</v>
      </c>
      <c r="H313" s="2">
        <v>0.00284041765655</v>
      </c>
    </row>
    <row r="314" ht="14.25" customHeight="1">
      <c r="A314" s="2" t="s">
        <v>75</v>
      </c>
      <c r="B314" s="2" t="s">
        <v>23</v>
      </c>
      <c r="C314" s="2" t="s">
        <v>25</v>
      </c>
      <c r="D314" s="2">
        <v>8.390888676416</v>
      </c>
      <c r="E314" s="2">
        <v>0.02858275824</v>
      </c>
      <c r="F314" s="2">
        <v>169.630982085552</v>
      </c>
      <c r="G314" s="2">
        <v>0.108106870628</v>
      </c>
      <c r="H314" s="2">
        <v>2.09615330996E-4</v>
      </c>
    </row>
    <row r="315" ht="14.25" customHeight="1">
      <c r="A315" s="2" t="s">
        <v>75</v>
      </c>
      <c r="B315" s="2" t="s">
        <v>23</v>
      </c>
      <c r="C315" s="2" t="s">
        <v>25</v>
      </c>
      <c r="D315" s="2">
        <v>3.455071807936</v>
      </c>
      <c r="E315" s="2">
        <v>0.01176937104</v>
      </c>
      <c r="F315" s="2">
        <v>69.848051446992</v>
      </c>
      <c r="G315" s="2">
        <v>0.044514593788</v>
      </c>
      <c r="H315" s="2">
        <v>8.6312195116E-5</v>
      </c>
    </row>
    <row r="316" ht="14.25" customHeight="1">
      <c r="A316" s="2" t="s">
        <v>75</v>
      </c>
      <c r="B316" s="2" t="s">
        <v>23</v>
      </c>
      <c r="C316" s="2" t="s">
        <v>25</v>
      </c>
      <c r="D316" s="2">
        <v>51.47925303976</v>
      </c>
      <c r="E316" s="2">
        <v>0.2050316398</v>
      </c>
      <c r="F316" s="2">
        <v>992.45282708472</v>
      </c>
      <c r="G316" s="2">
        <v>0.61152128178</v>
      </c>
      <c r="H316" s="2">
        <v>0.00120817072981</v>
      </c>
    </row>
    <row r="317" ht="14.25" customHeight="1">
      <c r="A317" s="2" t="s">
        <v>75</v>
      </c>
      <c r="B317" s="2" t="s">
        <v>23</v>
      </c>
      <c r="C317" s="2" t="s">
        <v>31</v>
      </c>
      <c r="D317" s="2">
        <v>156.54507769756</v>
      </c>
      <c r="E317" s="2">
        <v>3.3094896124</v>
      </c>
      <c r="F317" s="2">
        <v>4207.12000482532</v>
      </c>
      <c r="G317" s="2">
        <v>2.27790049673</v>
      </c>
      <c r="H317" s="2">
        <v>0.004669846438485</v>
      </c>
    </row>
    <row r="318" ht="14.25" customHeight="1">
      <c r="A318" s="2" t="s">
        <v>75</v>
      </c>
      <c r="B318" s="2" t="s">
        <v>23</v>
      </c>
      <c r="C318" s="2" t="s">
        <v>31</v>
      </c>
      <c r="D318" s="2">
        <v>24.2394142797684</v>
      </c>
      <c r="E318" s="2">
        <v>0.008191990566</v>
      </c>
      <c r="F318" s="2">
        <v>486.4200159047148</v>
      </c>
      <c r="G318" s="2">
        <v>0.2643272750547</v>
      </c>
      <c r="H318" s="2">
        <v>5.9273011632915E-4</v>
      </c>
    </row>
    <row r="319" ht="14.25" customHeight="1">
      <c r="A319" s="2" t="s">
        <v>75</v>
      </c>
      <c r="B319" s="2" t="s">
        <v>23</v>
      </c>
      <c r="C319" s="2" t="s">
        <v>32</v>
      </c>
      <c r="D319" s="2">
        <v>67.4097920496</v>
      </c>
      <c r="E319" s="2">
        <v>0.2127190065</v>
      </c>
      <c r="F319" s="2">
        <v>1789.069649367</v>
      </c>
      <c r="G319" s="2">
        <v>1.158373359</v>
      </c>
      <c r="H319" s="2">
        <v>0.0056023539</v>
      </c>
    </row>
    <row r="320" ht="14.25" customHeight="1">
      <c r="A320" s="2" t="s">
        <v>75</v>
      </c>
      <c r="B320" s="2" t="s">
        <v>23</v>
      </c>
      <c r="C320" s="2" t="s">
        <v>32</v>
      </c>
      <c r="D320" s="2">
        <v>81.3327836895</v>
      </c>
      <c r="E320" s="2">
        <v>0.2735615745</v>
      </c>
      <c r="F320" s="2">
        <v>2232.836288145</v>
      </c>
      <c r="G320" s="2">
        <v>1.6602934905</v>
      </c>
      <c r="H320" s="2">
        <v>0.007720479</v>
      </c>
    </row>
    <row r="321" ht="14.25" customHeight="1">
      <c r="A321" s="2" t="s">
        <v>75</v>
      </c>
      <c r="B321" s="2" t="s">
        <v>23</v>
      </c>
      <c r="C321" s="2" t="s">
        <v>26</v>
      </c>
      <c r="D321" s="2">
        <v>43.40179668836625</v>
      </c>
      <c r="E321" s="2">
        <v>0.12344043738</v>
      </c>
      <c r="F321" s="2">
        <v>908.785640741625</v>
      </c>
      <c r="G321" s="2">
        <v>0.6460752867825</v>
      </c>
      <c r="H321" s="2">
        <v>0.0030358787925</v>
      </c>
    </row>
    <row r="322" ht="14.25" customHeight="1">
      <c r="A322" s="2" t="s">
        <v>75</v>
      </c>
      <c r="B322" s="2" t="s">
        <v>23</v>
      </c>
      <c r="C322" s="2" t="s">
        <v>33</v>
      </c>
      <c r="D322" s="2">
        <v>0.0</v>
      </c>
      <c r="E322" s="2">
        <v>0.0</v>
      </c>
      <c r="F322" s="2">
        <v>0.0</v>
      </c>
      <c r="G322" s="2">
        <v>0.0</v>
      </c>
      <c r="H322" s="2">
        <v>0.0</v>
      </c>
    </row>
    <row r="323" ht="14.25" customHeight="1">
      <c r="A323" s="2" t="s">
        <v>75</v>
      </c>
      <c r="B323" s="2" t="s">
        <v>23</v>
      </c>
      <c r="C323" s="2" t="s">
        <v>33</v>
      </c>
      <c r="D323" s="2">
        <v>0.0</v>
      </c>
      <c r="E323" s="2">
        <v>0.0</v>
      </c>
      <c r="F323" s="2">
        <v>0.0</v>
      </c>
      <c r="G323" s="2">
        <v>0.0</v>
      </c>
      <c r="H323" s="2">
        <v>0.0</v>
      </c>
    </row>
    <row r="324" ht="14.25" customHeight="1">
      <c r="A324" s="2" t="s">
        <v>75</v>
      </c>
      <c r="B324" s="2" t="s">
        <v>209</v>
      </c>
      <c r="C324" s="2" t="s">
        <v>24</v>
      </c>
      <c r="D324" s="2">
        <v>0.0</v>
      </c>
      <c r="E324" s="2">
        <v>0.0</v>
      </c>
      <c r="F324" s="2">
        <v>0.0</v>
      </c>
      <c r="G324" s="2">
        <v>0.0</v>
      </c>
      <c r="H324" s="2">
        <v>0.0</v>
      </c>
    </row>
    <row r="325" ht="14.25" customHeight="1">
      <c r="A325" s="2" t="s">
        <v>75</v>
      </c>
      <c r="B325" s="2" t="s">
        <v>209</v>
      </c>
      <c r="C325" s="2" t="s">
        <v>24</v>
      </c>
      <c r="D325" s="2">
        <v>0.0</v>
      </c>
      <c r="E325" s="2">
        <v>0.0</v>
      </c>
      <c r="F325" s="2">
        <v>0.0</v>
      </c>
      <c r="G325" s="2">
        <v>0.0</v>
      </c>
      <c r="H325" s="2">
        <v>0.0</v>
      </c>
    </row>
    <row r="326" ht="14.25" customHeight="1">
      <c r="A326" s="2" t="s">
        <v>75</v>
      </c>
      <c r="B326" s="2" t="s">
        <v>209</v>
      </c>
      <c r="C326" s="2" t="s">
        <v>25</v>
      </c>
      <c r="D326" s="2">
        <v>0.0</v>
      </c>
      <c r="E326" s="2">
        <v>0.0</v>
      </c>
      <c r="F326" s="2">
        <v>0.0</v>
      </c>
      <c r="G326" s="2">
        <v>0.0</v>
      </c>
      <c r="H326" s="2">
        <v>0.0</v>
      </c>
    </row>
    <row r="327" ht="14.25" customHeight="1">
      <c r="A327" s="2" t="s">
        <v>75</v>
      </c>
      <c r="B327" s="2" t="s">
        <v>209</v>
      </c>
      <c r="C327" s="2" t="s">
        <v>25</v>
      </c>
      <c r="D327" s="2">
        <v>0.0</v>
      </c>
      <c r="E327" s="2">
        <v>0.0</v>
      </c>
      <c r="F327" s="2">
        <v>0.0</v>
      </c>
      <c r="G327" s="2">
        <v>0.0</v>
      </c>
      <c r="H327" s="2">
        <v>0.0</v>
      </c>
    </row>
    <row r="328" ht="14.25" customHeight="1">
      <c r="A328" s="2" t="s">
        <v>75</v>
      </c>
      <c r="B328" s="2" t="s">
        <v>209</v>
      </c>
      <c r="C328" s="2" t="s">
        <v>25</v>
      </c>
      <c r="D328" s="2">
        <v>0.0</v>
      </c>
      <c r="E328" s="2">
        <v>0.0</v>
      </c>
      <c r="F328" s="2">
        <v>0.0</v>
      </c>
      <c r="G328" s="2">
        <v>0.0</v>
      </c>
      <c r="H328" s="2">
        <v>0.0</v>
      </c>
    </row>
    <row r="329" ht="14.25" customHeight="1">
      <c r="A329" s="2" t="s">
        <v>75</v>
      </c>
      <c r="B329" s="2" t="s">
        <v>209</v>
      </c>
      <c r="C329" s="2" t="s">
        <v>25</v>
      </c>
      <c r="D329" s="2">
        <v>0.0</v>
      </c>
      <c r="E329" s="2">
        <v>0.0</v>
      </c>
      <c r="F329" s="2">
        <v>0.0</v>
      </c>
      <c r="G329" s="2">
        <v>0.0</v>
      </c>
      <c r="H329" s="2">
        <v>0.0</v>
      </c>
    </row>
    <row r="330" ht="14.25" customHeight="1">
      <c r="A330" s="2" t="s">
        <v>75</v>
      </c>
      <c r="B330" s="2" t="s">
        <v>209</v>
      </c>
      <c r="C330" s="2" t="s">
        <v>31</v>
      </c>
      <c r="D330" s="2">
        <v>0.0</v>
      </c>
      <c r="E330" s="2">
        <v>0.0</v>
      </c>
      <c r="F330" s="2">
        <v>0.0</v>
      </c>
      <c r="G330" s="2">
        <v>0.0</v>
      </c>
      <c r="H330" s="2">
        <v>0.0</v>
      </c>
    </row>
    <row r="331" ht="14.25" customHeight="1">
      <c r="A331" s="2" t="s">
        <v>75</v>
      </c>
      <c r="B331" s="2" t="s">
        <v>209</v>
      </c>
      <c r="C331" s="2" t="s">
        <v>31</v>
      </c>
      <c r="D331" s="2">
        <v>0.0</v>
      </c>
      <c r="E331" s="2">
        <v>0.0</v>
      </c>
      <c r="F331" s="2">
        <v>0.0</v>
      </c>
      <c r="G331" s="2">
        <v>0.0</v>
      </c>
      <c r="H331" s="2">
        <v>0.0</v>
      </c>
    </row>
    <row r="332" ht="14.25" customHeight="1">
      <c r="A332" s="2" t="s">
        <v>75</v>
      </c>
      <c r="B332" s="2" t="s">
        <v>209</v>
      </c>
      <c r="C332" s="2" t="s">
        <v>32</v>
      </c>
      <c r="D332" s="2">
        <v>0.0</v>
      </c>
      <c r="E332" s="2">
        <v>0.0</v>
      </c>
      <c r="F332" s="2">
        <v>0.0</v>
      </c>
      <c r="G332" s="2">
        <v>0.0</v>
      </c>
      <c r="H332" s="2">
        <v>0.0</v>
      </c>
    </row>
    <row r="333" ht="14.25" customHeight="1">
      <c r="A333" s="2" t="s">
        <v>75</v>
      </c>
      <c r="B333" s="2" t="s">
        <v>209</v>
      </c>
      <c r="C333" s="2" t="s">
        <v>32</v>
      </c>
      <c r="D333" s="2">
        <v>0.0</v>
      </c>
      <c r="E333" s="2">
        <v>0.0</v>
      </c>
      <c r="F333" s="2">
        <v>0.0</v>
      </c>
      <c r="G333" s="2">
        <v>0.0</v>
      </c>
      <c r="H333" s="2">
        <v>0.0</v>
      </c>
    </row>
    <row r="334" ht="14.25" customHeight="1">
      <c r="A334" s="2" t="s">
        <v>75</v>
      </c>
      <c r="B334" s="2" t="s">
        <v>209</v>
      </c>
      <c r="C334" s="2" t="s">
        <v>26</v>
      </c>
      <c r="D334" s="2">
        <v>0.0</v>
      </c>
      <c r="E334" s="2">
        <v>0.0</v>
      </c>
      <c r="F334" s="2">
        <v>0.0</v>
      </c>
      <c r="G334" s="2">
        <v>0.0</v>
      </c>
      <c r="H334" s="2">
        <v>0.0</v>
      </c>
    </row>
    <row r="335" ht="14.25" customHeight="1">
      <c r="A335" s="2" t="s">
        <v>75</v>
      </c>
      <c r="B335" s="2" t="s">
        <v>209</v>
      </c>
      <c r="C335" s="2" t="s">
        <v>33</v>
      </c>
      <c r="D335" s="2">
        <v>0.0</v>
      </c>
      <c r="E335" s="2">
        <v>0.0</v>
      </c>
      <c r="F335" s="2">
        <v>0.0</v>
      </c>
      <c r="G335" s="2">
        <v>0.0</v>
      </c>
      <c r="H335" s="2">
        <v>0.0</v>
      </c>
    </row>
    <row r="336" ht="14.25" customHeight="1">
      <c r="A336" s="2" t="s">
        <v>75</v>
      </c>
      <c r="B336" s="2" t="s">
        <v>209</v>
      </c>
      <c r="C336" s="2" t="s">
        <v>33</v>
      </c>
      <c r="D336" s="2">
        <v>0.0</v>
      </c>
      <c r="E336" s="2">
        <v>0.0</v>
      </c>
      <c r="F336" s="2">
        <v>0.0</v>
      </c>
      <c r="G336" s="2">
        <v>0.0</v>
      </c>
      <c r="H336" s="2">
        <v>0.0</v>
      </c>
    </row>
    <row r="337" ht="14.25" customHeight="1">
      <c r="A337" s="2" t="s">
        <v>75</v>
      </c>
      <c r="B337" s="2" t="s">
        <v>23</v>
      </c>
      <c r="C337" s="2" t="s">
        <v>10</v>
      </c>
      <c r="D337" s="2">
        <v>3550.919353058106</v>
      </c>
      <c r="E337" s="2">
        <v>8.457054099426</v>
      </c>
      <c r="F337" s="2">
        <v>91375.31619870332</v>
      </c>
      <c r="G337" s="2">
        <v>30.9904887358632</v>
      </c>
      <c r="H337" s="2">
        <v>0.4456128149309361</v>
      </c>
    </row>
    <row r="338" ht="14.25" customHeight="1">
      <c r="A338" s="2" t="s">
        <v>75</v>
      </c>
      <c r="B338" s="2" t="s">
        <v>29</v>
      </c>
      <c r="C338" s="2" t="s">
        <v>34</v>
      </c>
      <c r="D338" s="2">
        <v>0.0</v>
      </c>
      <c r="E338" s="2">
        <v>0.0</v>
      </c>
      <c r="F338" s="2">
        <v>0.0</v>
      </c>
      <c r="G338" s="2">
        <v>0.0</v>
      </c>
      <c r="H338" s="2">
        <v>0.0</v>
      </c>
    </row>
    <row r="339" ht="14.25" customHeight="1">
      <c r="A339" s="2" t="s">
        <v>75</v>
      </c>
      <c r="B339" s="2" t="s">
        <v>29</v>
      </c>
      <c r="C339" s="2" t="s">
        <v>35</v>
      </c>
      <c r="D339" s="2">
        <v>19.2629656</v>
      </c>
      <c r="E339" s="2">
        <v>0.065973888</v>
      </c>
      <c r="F339" s="2">
        <v>391.1209572</v>
      </c>
      <c r="G339" s="2">
        <v>0.25345798</v>
      </c>
      <c r="H339" s="2">
        <v>4.9012E-4</v>
      </c>
    </row>
    <row r="340" ht="14.25" customHeight="1">
      <c r="A340" s="2" t="s">
        <v>75</v>
      </c>
      <c r="B340" s="2" t="s">
        <v>29</v>
      </c>
      <c r="C340" s="2" t="s">
        <v>35</v>
      </c>
      <c r="D340" s="2">
        <v>48.157414</v>
      </c>
      <c r="E340" s="2">
        <v>0.16493472</v>
      </c>
      <c r="F340" s="2">
        <v>977.802393</v>
      </c>
      <c r="G340" s="2">
        <v>0.63364495</v>
      </c>
      <c r="H340" s="2">
        <v>0.0012253</v>
      </c>
    </row>
    <row r="341" ht="14.25" customHeight="1">
      <c r="A341" s="2" t="s">
        <v>75</v>
      </c>
      <c r="B341" s="2" t="s">
        <v>29</v>
      </c>
      <c r="C341" s="2" t="s">
        <v>35</v>
      </c>
      <c r="D341" s="2">
        <v>10.1276457</v>
      </c>
      <c r="E341" s="2">
        <v>0.040930107</v>
      </c>
      <c r="F341" s="2">
        <v>196.41857058</v>
      </c>
      <c r="G341" s="2">
        <v>0.124800876</v>
      </c>
      <c r="H341" s="2">
        <v>2.45355E-4</v>
      </c>
    </row>
    <row r="342" ht="14.25" customHeight="1">
      <c r="A342" s="2" t="s">
        <v>75</v>
      </c>
      <c r="B342" s="2" t="s">
        <v>29</v>
      </c>
      <c r="C342" s="2" t="s">
        <v>36</v>
      </c>
      <c r="D342" s="2">
        <v>0.1374100299</v>
      </c>
      <c r="E342" s="2">
        <v>3.5426025E-5</v>
      </c>
      <c r="F342" s="2">
        <v>2.193261751125</v>
      </c>
      <c r="G342" s="2">
        <v>0.0034307517375</v>
      </c>
      <c r="H342" s="2">
        <v>3.6804375E-5</v>
      </c>
    </row>
    <row r="343" ht="14.25" customHeight="1">
      <c r="A343" s="2" t="s">
        <v>75</v>
      </c>
      <c r="B343" s="2" t="s">
        <v>210</v>
      </c>
      <c r="C343" s="2" t="s">
        <v>34</v>
      </c>
      <c r="D343" s="2">
        <v>0.0</v>
      </c>
      <c r="E343" s="2">
        <v>0.0</v>
      </c>
      <c r="F343" s="2">
        <v>0.0</v>
      </c>
      <c r="G343" s="2">
        <v>0.0</v>
      </c>
      <c r="H343" s="2">
        <v>0.0</v>
      </c>
    </row>
    <row r="344" ht="14.25" customHeight="1">
      <c r="A344" s="2" t="s">
        <v>75</v>
      </c>
      <c r="B344" s="2" t="s">
        <v>210</v>
      </c>
      <c r="C344" s="2" t="s">
        <v>35</v>
      </c>
      <c r="D344" s="2">
        <v>0.0</v>
      </c>
      <c r="E344" s="2">
        <v>0.0</v>
      </c>
      <c r="F344" s="2">
        <v>0.0</v>
      </c>
      <c r="G344" s="2">
        <v>0.0</v>
      </c>
      <c r="H344" s="2">
        <v>0.0</v>
      </c>
    </row>
    <row r="345" ht="14.25" customHeight="1">
      <c r="A345" s="2" t="s">
        <v>75</v>
      </c>
      <c r="B345" s="2" t="s">
        <v>210</v>
      </c>
      <c r="C345" s="2" t="s">
        <v>35</v>
      </c>
      <c r="D345" s="2">
        <v>0.0</v>
      </c>
      <c r="E345" s="2">
        <v>0.0</v>
      </c>
      <c r="F345" s="2">
        <v>0.0</v>
      </c>
      <c r="G345" s="2">
        <v>0.0</v>
      </c>
      <c r="H345" s="2">
        <v>0.0</v>
      </c>
    </row>
    <row r="346" ht="14.25" customHeight="1">
      <c r="A346" s="2" t="s">
        <v>75</v>
      </c>
      <c r="B346" s="2" t="s">
        <v>210</v>
      </c>
      <c r="C346" s="2" t="s">
        <v>35</v>
      </c>
      <c r="D346" s="2">
        <v>0.0</v>
      </c>
      <c r="E346" s="2">
        <v>0.0</v>
      </c>
      <c r="F346" s="2">
        <v>0.0</v>
      </c>
      <c r="G346" s="2">
        <v>0.0</v>
      </c>
      <c r="H346" s="2">
        <v>0.0</v>
      </c>
    </row>
    <row r="347" ht="14.25" customHeight="1">
      <c r="A347" s="2" t="s">
        <v>75</v>
      </c>
      <c r="B347" s="2" t="s">
        <v>210</v>
      </c>
      <c r="C347" s="2" t="s">
        <v>36</v>
      </c>
      <c r="D347" s="2">
        <v>0.0</v>
      </c>
      <c r="E347" s="2">
        <v>0.0</v>
      </c>
      <c r="F347" s="2">
        <v>0.0</v>
      </c>
      <c r="G347" s="2">
        <v>0.0</v>
      </c>
      <c r="H347" s="2">
        <v>0.0</v>
      </c>
    </row>
    <row r="348" ht="14.25" customHeight="1">
      <c r="A348" s="2" t="s">
        <v>75</v>
      </c>
      <c r="B348" s="2" t="s">
        <v>29</v>
      </c>
      <c r="C348" s="2" t="s">
        <v>10</v>
      </c>
      <c r="D348" s="2">
        <v>77.6854353299</v>
      </c>
      <c r="E348" s="2">
        <v>0.271874141025</v>
      </c>
      <c r="F348" s="2">
        <v>1567.535182531125</v>
      </c>
      <c r="G348" s="2">
        <v>1.0153345577375</v>
      </c>
      <c r="H348" s="2">
        <v>0.001997579375</v>
      </c>
    </row>
    <row r="349" ht="14.25" customHeight="1">
      <c r="A349" s="2" t="s">
        <v>75</v>
      </c>
      <c r="B349" s="2" t="s">
        <v>18</v>
      </c>
      <c r="C349" s="2" t="s">
        <v>10</v>
      </c>
      <c r="D349" s="2">
        <v>0.0</v>
      </c>
      <c r="E349" s="2">
        <v>0.0</v>
      </c>
      <c r="F349" s="2">
        <v>0.0</v>
      </c>
      <c r="G349" s="2">
        <v>0.0</v>
      </c>
      <c r="H349" s="2">
        <v>0.0</v>
      </c>
    </row>
    <row r="350" ht="14.25" customHeight="1">
      <c r="A350" s="2" t="s">
        <v>76</v>
      </c>
      <c r="B350" s="2" t="s">
        <v>38</v>
      </c>
      <c r="C350" s="2" t="s">
        <v>39</v>
      </c>
      <c r="D350" s="2">
        <v>248.1355701569607</v>
      </c>
      <c r="E350" s="2">
        <v>8.8173748265148</v>
      </c>
      <c r="F350" s="2">
        <v>3657.97554876829</v>
      </c>
      <c r="G350" s="2">
        <v>2.00620780111726</v>
      </c>
      <c r="H350" s="2">
        <v>0.01100819191555707</v>
      </c>
    </row>
    <row r="351" ht="14.25" customHeight="1">
      <c r="A351" s="2" t="s">
        <v>76</v>
      </c>
      <c r="B351" s="2" t="s">
        <v>38</v>
      </c>
      <c r="C351" s="2" t="s">
        <v>39</v>
      </c>
      <c r="D351" s="2">
        <v>36.9299967993072</v>
      </c>
      <c r="E351" s="2">
        <v>0.1825515494637</v>
      </c>
      <c r="F351" s="2">
        <v>931.0064815587813</v>
      </c>
      <c r="G351" s="2">
        <v>0.4685883801909</v>
      </c>
      <c r="H351" s="2">
        <v>0.0013458708438762</v>
      </c>
    </row>
    <row r="352" ht="14.25" customHeight="1">
      <c r="A352" s="2" t="s">
        <v>76</v>
      </c>
      <c r="B352" s="2" t="s">
        <v>38</v>
      </c>
      <c r="C352" s="2" t="s">
        <v>39</v>
      </c>
      <c r="D352" s="2">
        <v>444.4589470265316</v>
      </c>
      <c r="E352" s="2">
        <v>3.769471493124509</v>
      </c>
      <c r="F352" s="2">
        <v>5919.831368508008</v>
      </c>
      <c r="G352" s="2">
        <v>2.432497841701773</v>
      </c>
      <c r="H352" s="2">
        <v>0.009656145486854322</v>
      </c>
    </row>
    <row r="353" ht="14.25" customHeight="1">
      <c r="A353" s="2" t="s">
        <v>76</v>
      </c>
      <c r="B353" s="2" t="s">
        <v>38</v>
      </c>
      <c r="C353" s="2" t="s">
        <v>16</v>
      </c>
      <c r="D353" s="2">
        <v>1.30593147580224</v>
      </c>
      <c r="E353" s="2">
        <v>0.0172155223296</v>
      </c>
      <c r="F353" s="2">
        <v>34.13228969672928</v>
      </c>
      <c r="G353" s="2">
        <v>0.1710416576249136</v>
      </c>
      <c r="H353" s="2">
        <v>0.01528846988356044</v>
      </c>
    </row>
    <row r="354" ht="14.25" customHeight="1">
      <c r="A354" s="2" t="s">
        <v>76</v>
      </c>
      <c r="B354" s="2" t="s">
        <v>38</v>
      </c>
      <c r="C354" s="2" t="s">
        <v>17</v>
      </c>
      <c r="D354" s="2">
        <v>0.3698826828</v>
      </c>
      <c r="E354" s="2">
        <v>0.001051526172</v>
      </c>
      <c r="F354" s="2">
        <v>10.6057707334</v>
      </c>
      <c r="G354" s="2">
        <v>0.00822700925</v>
      </c>
      <c r="H354" s="2">
        <v>2.600024492E-5</v>
      </c>
    </row>
    <row r="355" ht="14.25" customHeight="1">
      <c r="A355" s="2" t="s">
        <v>76</v>
      </c>
      <c r="B355" s="2" t="s">
        <v>211</v>
      </c>
      <c r="C355" s="2" t="s">
        <v>39</v>
      </c>
      <c r="D355" s="2">
        <v>0.0</v>
      </c>
      <c r="E355" s="2">
        <v>0.0</v>
      </c>
      <c r="F355" s="2">
        <v>0.0</v>
      </c>
      <c r="G355" s="2">
        <v>0.0</v>
      </c>
      <c r="H355" s="2">
        <v>0.0</v>
      </c>
    </row>
    <row r="356" ht="14.25" customHeight="1">
      <c r="A356" s="2" t="s">
        <v>76</v>
      </c>
      <c r="B356" s="2" t="s">
        <v>211</v>
      </c>
      <c r="C356" s="2" t="s">
        <v>39</v>
      </c>
      <c r="D356" s="2">
        <v>0.0</v>
      </c>
      <c r="E356" s="2">
        <v>0.0</v>
      </c>
      <c r="F356" s="2">
        <v>0.0</v>
      </c>
      <c r="G356" s="2">
        <v>0.0</v>
      </c>
      <c r="H356" s="2">
        <v>0.0</v>
      </c>
    </row>
    <row r="357" ht="14.25" customHeight="1">
      <c r="A357" s="2" t="s">
        <v>76</v>
      </c>
      <c r="B357" s="2" t="s">
        <v>211</v>
      </c>
      <c r="C357" s="2" t="s">
        <v>39</v>
      </c>
      <c r="D357" s="2">
        <v>0.0</v>
      </c>
      <c r="E357" s="2">
        <v>0.0</v>
      </c>
      <c r="F357" s="2">
        <v>0.0</v>
      </c>
      <c r="G357" s="2">
        <v>0.0</v>
      </c>
      <c r="H357" s="2">
        <v>0.0</v>
      </c>
    </row>
    <row r="358" ht="14.25" customHeight="1">
      <c r="A358" s="2" t="s">
        <v>76</v>
      </c>
      <c r="B358" s="2" t="s">
        <v>211</v>
      </c>
      <c r="C358" s="2" t="s">
        <v>16</v>
      </c>
      <c r="D358" s="2">
        <v>0.0</v>
      </c>
      <c r="E358" s="2">
        <v>0.0</v>
      </c>
      <c r="F358" s="2">
        <v>0.0</v>
      </c>
      <c r="G358" s="2">
        <v>0.0</v>
      </c>
      <c r="H358" s="2">
        <v>0.0</v>
      </c>
    </row>
    <row r="359" ht="14.25" customHeight="1">
      <c r="A359" s="2" t="s">
        <v>76</v>
      </c>
      <c r="B359" s="2" t="s">
        <v>211</v>
      </c>
      <c r="C359" s="2" t="s">
        <v>17</v>
      </c>
      <c r="D359" s="2">
        <v>0.0</v>
      </c>
      <c r="E359" s="2">
        <v>0.0</v>
      </c>
      <c r="F359" s="2">
        <v>0.0</v>
      </c>
      <c r="G359" s="2">
        <v>0.0</v>
      </c>
      <c r="H359" s="2">
        <v>0.0</v>
      </c>
    </row>
    <row r="360" ht="14.25" customHeight="1">
      <c r="A360" s="2" t="s">
        <v>76</v>
      </c>
      <c r="B360" s="2" t="s">
        <v>38</v>
      </c>
      <c r="C360" s="2" t="s">
        <v>10</v>
      </c>
      <c r="D360" s="2">
        <v>731.2003281414018</v>
      </c>
      <c r="E360" s="2">
        <v>12.78766491760461</v>
      </c>
      <c r="F360" s="2">
        <v>10553.55145926521</v>
      </c>
      <c r="G360" s="2">
        <v>5.086562689884847</v>
      </c>
      <c r="H360" s="2">
        <v>0.03732467837476803</v>
      </c>
    </row>
    <row r="361" ht="14.25" customHeight="1">
      <c r="A361" s="2" t="s">
        <v>76</v>
      </c>
      <c r="B361" s="2" t="s">
        <v>18</v>
      </c>
      <c r="C361" s="2" t="s">
        <v>10</v>
      </c>
      <c r="D361" s="2">
        <v>0.0</v>
      </c>
      <c r="E361" s="2">
        <v>0.0</v>
      </c>
      <c r="F361" s="2">
        <v>0.0</v>
      </c>
      <c r="G361" s="2">
        <v>0.0</v>
      </c>
      <c r="H361" s="2">
        <v>0.0</v>
      </c>
    </row>
    <row r="362" ht="14.25" customHeight="1">
      <c r="A362" s="2" t="s">
        <v>77</v>
      </c>
      <c r="B362" s="2" t="s">
        <v>21</v>
      </c>
      <c r="C362" s="2" t="s">
        <v>10</v>
      </c>
      <c r="D362" s="2">
        <v>0.0</v>
      </c>
      <c r="E362" s="2">
        <v>0.0</v>
      </c>
      <c r="F362" s="2">
        <v>0.0</v>
      </c>
      <c r="G362" s="2">
        <v>0.0</v>
      </c>
      <c r="H362" s="2">
        <v>0.0</v>
      </c>
    </row>
    <row r="363" ht="14.25" customHeight="1">
      <c r="A363" s="2" t="s">
        <v>77</v>
      </c>
      <c r="B363" s="2" t="s">
        <v>22</v>
      </c>
      <c r="C363" s="2" t="s">
        <v>10</v>
      </c>
      <c r="D363" s="2">
        <v>0.0</v>
      </c>
      <c r="E363" s="2">
        <v>0.0</v>
      </c>
      <c r="F363" s="2">
        <v>0.0</v>
      </c>
      <c r="G363" s="2">
        <v>0.0</v>
      </c>
      <c r="H363" s="2">
        <v>0.0</v>
      </c>
    </row>
    <row r="364" ht="14.25" customHeight="1">
      <c r="A364" s="2" t="s">
        <v>77</v>
      </c>
      <c r="B364" s="2" t="s">
        <v>23</v>
      </c>
      <c r="C364" s="2" t="s">
        <v>24</v>
      </c>
      <c r="D364" s="2">
        <v>0.0</v>
      </c>
      <c r="E364" s="2">
        <v>0.0</v>
      </c>
      <c r="F364" s="2">
        <v>0.0</v>
      </c>
      <c r="G364" s="2">
        <v>0.0</v>
      </c>
      <c r="H364" s="2">
        <v>0.0</v>
      </c>
    </row>
    <row r="365" ht="14.25" customHeight="1">
      <c r="A365" s="2" t="s">
        <v>77</v>
      </c>
      <c r="B365" s="2" t="s">
        <v>23</v>
      </c>
      <c r="C365" s="2" t="s">
        <v>25</v>
      </c>
      <c r="D365" s="2">
        <v>0.0</v>
      </c>
      <c r="E365" s="2">
        <v>0.0</v>
      </c>
      <c r="F365" s="2">
        <v>0.0</v>
      </c>
      <c r="G365" s="2">
        <v>0.0</v>
      </c>
      <c r="H365" s="2">
        <v>0.0</v>
      </c>
    </row>
    <row r="366" ht="14.25" customHeight="1">
      <c r="A366" s="2" t="s">
        <v>77</v>
      </c>
      <c r="B366" s="2" t="s">
        <v>23</v>
      </c>
      <c r="C366" s="2" t="s">
        <v>26</v>
      </c>
      <c r="D366" s="2">
        <v>0.0</v>
      </c>
      <c r="E366" s="2">
        <v>0.0</v>
      </c>
      <c r="F366" s="2">
        <v>0.0</v>
      </c>
      <c r="G366" s="2">
        <v>0.0</v>
      </c>
      <c r="H366" s="2">
        <v>0.0</v>
      </c>
    </row>
    <row r="367" ht="14.25" customHeight="1">
      <c r="A367" s="2" t="s">
        <v>77</v>
      </c>
      <c r="B367" s="2" t="s">
        <v>23</v>
      </c>
      <c r="C367" s="2" t="s">
        <v>27</v>
      </c>
      <c r="D367" s="2">
        <v>5842.650245796</v>
      </c>
      <c r="E367" s="2">
        <v>77.379154524</v>
      </c>
      <c r="F367" s="2">
        <v>153027.5406408</v>
      </c>
      <c r="G367" s="2">
        <v>769.224278592</v>
      </c>
      <c r="H367" s="2">
        <v>68.797895292</v>
      </c>
    </row>
    <row r="368" ht="14.25" customHeight="1">
      <c r="A368" s="2" t="s">
        <v>77</v>
      </c>
      <c r="B368" s="2" t="s">
        <v>23</v>
      </c>
      <c r="C368" s="2" t="s">
        <v>28</v>
      </c>
      <c r="D368" s="2">
        <v>670.45492152</v>
      </c>
      <c r="E368" s="2">
        <v>5.3489154555</v>
      </c>
      <c r="F368" s="2">
        <v>77416.66227825</v>
      </c>
      <c r="G368" s="2">
        <v>16.34982426</v>
      </c>
      <c r="H368" s="2">
        <v>0.0593055486</v>
      </c>
    </row>
    <row r="369" ht="14.25" customHeight="1">
      <c r="A369" s="2" t="s">
        <v>77</v>
      </c>
      <c r="B369" s="2" t="s">
        <v>209</v>
      </c>
      <c r="C369" s="2" t="s">
        <v>24</v>
      </c>
      <c r="D369" s="2">
        <v>0.0</v>
      </c>
      <c r="E369" s="2">
        <v>0.0</v>
      </c>
      <c r="F369" s="2">
        <v>0.0</v>
      </c>
      <c r="G369" s="2">
        <v>0.0</v>
      </c>
      <c r="H369" s="2">
        <v>0.0</v>
      </c>
    </row>
    <row r="370" ht="14.25" customHeight="1">
      <c r="A370" s="2" t="s">
        <v>77</v>
      </c>
      <c r="B370" s="2" t="s">
        <v>209</v>
      </c>
      <c r="C370" s="2" t="s">
        <v>25</v>
      </c>
      <c r="D370" s="2">
        <v>0.0</v>
      </c>
      <c r="E370" s="2">
        <v>0.0</v>
      </c>
      <c r="F370" s="2">
        <v>0.0</v>
      </c>
      <c r="G370" s="2">
        <v>0.0</v>
      </c>
      <c r="H370" s="2">
        <v>0.0</v>
      </c>
    </row>
    <row r="371" ht="14.25" customHeight="1">
      <c r="A371" s="2" t="s">
        <v>77</v>
      </c>
      <c r="B371" s="2" t="s">
        <v>209</v>
      </c>
      <c r="C371" s="2" t="s">
        <v>26</v>
      </c>
      <c r="D371" s="2">
        <v>0.0</v>
      </c>
      <c r="E371" s="2">
        <v>0.0</v>
      </c>
      <c r="F371" s="2">
        <v>0.0</v>
      </c>
      <c r="G371" s="2">
        <v>0.0</v>
      </c>
      <c r="H371" s="2">
        <v>0.0</v>
      </c>
    </row>
    <row r="372" ht="14.25" customHeight="1">
      <c r="A372" s="2" t="s">
        <v>77</v>
      </c>
      <c r="B372" s="2" t="s">
        <v>209</v>
      </c>
      <c r="C372" s="2" t="s">
        <v>27</v>
      </c>
      <c r="D372" s="2">
        <v>0.0</v>
      </c>
      <c r="E372" s="2">
        <v>0.0</v>
      </c>
      <c r="F372" s="2">
        <v>0.0</v>
      </c>
      <c r="G372" s="2">
        <v>0.0</v>
      </c>
      <c r="H372" s="2">
        <v>0.0</v>
      </c>
    </row>
    <row r="373" ht="14.25" customHeight="1">
      <c r="A373" s="2" t="s">
        <v>77</v>
      </c>
      <c r="B373" s="2" t="s">
        <v>209</v>
      </c>
      <c r="C373" s="2" t="s">
        <v>28</v>
      </c>
      <c r="D373" s="2">
        <v>0.0</v>
      </c>
      <c r="E373" s="2">
        <v>0.0</v>
      </c>
      <c r="F373" s="2">
        <v>0.0</v>
      </c>
      <c r="G373" s="2">
        <v>0.0</v>
      </c>
      <c r="H373" s="2">
        <v>0.0</v>
      </c>
    </row>
    <row r="374" ht="14.25" customHeight="1">
      <c r="A374" s="2" t="s">
        <v>77</v>
      </c>
      <c r="B374" s="2" t="s">
        <v>23</v>
      </c>
      <c r="C374" s="2" t="s">
        <v>10</v>
      </c>
      <c r="D374" s="2">
        <v>6513.105167316</v>
      </c>
      <c r="E374" s="2">
        <v>82.7280699795</v>
      </c>
      <c r="F374" s="2">
        <v>230444.20291905</v>
      </c>
      <c r="G374" s="2">
        <v>785.574102852</v>
      </c>
      <c r="H374" s="2">
        <v>68.8572008406</v>
      </c>
    </row>
    <row r="375" ht="14.25" customHeight="1">
      <c r="A375" s="2" t="s">
        <v>77</v>
      </c>
      <c r="B375" s="2" t="s">
        <v>29</v>
      </c>
      <c r="C375" s="2" t="s">
        <v>10</v>
      </c>
      <c r="D375" s="2">
        <v>0.0</v>
      </c>
      <c r="E375" s="2">
        <v>0.0</v>
      </c>
      <c r="F375" s="2">
        <v>0.0</v>
      </c>
      <c r="G375" s="2">
        <v>0.0</v>
      </c>
      <c r="H375" s="2">
        <v>0.0</v>
      </c>
    </row>
    <row r="376" ht="14.25" customHeight="1">
      <c r="A376" s="2" t="s">
        <v>77</v>
      </c>
      <c r="B376" s="2" t="s">
        <v>18</v>
      </c>
      <c r="C376" s="2" t="s">
        <v>10</v>
      </c>
      <c r="D376" s="2">
        <v>0.0</v>
      </c>
      <c r="E376" s="2">
        <v>0.0</v>
      </c>
      <c r="F376" s="2">
        <v>0.0</v>
      </c>
      <c r="G376" s="2">
        <v>0.0</v>
      </c>
      <c r="H376" s="2">
        <v>0.0</v>
      </c>
    </row>
    <row r="377" ht="14.25" customHeight="1">
      <c r="A377" s="2" t="s">
        <v>78</v>
      </c>
      <c r="B377" s="2" t="s">
        <v>21</v>
      </c>
      <c r="C377" s="2" t="s">
        <v>42</v>
      </c>
      <c r="D377" s="2">
        <v>0.0</v>
      </c>
      <c r="E377" s="2">
        <v>0.0</v>
      </c>
      <c r="F377" s="2">
        <v>0.0</v>
      </c>
      <c r="G377" s="2">
        <v>0.0</v>
      </c>
      <c r="H377" s="2">
        <v>0.0</v>
      </c>
    </row>
    <row r="378" ht="14.25" customHeight="1">
      <c r="A378" s="2" t="s">
        <v>78</v>
      </c>
      <c r="B378" s="2" t="s">
        <v>21</v>
      </c>
      <c r="C378" s="2" t="s">
        <v>41</v>
      </c>
      <c r="D378" s="2">
        <v>0.0</v>
      </c>
      <c r="E378" s="2">
        <v>0.0</v>
      </c>
      <c r="F378" s="2">
        <v>0.0</v>
      </c>
      <c r="G378" s="2">
        <v>0.0</v>
      </c>
      <c r="H378" s="2">
        <v>0.0</v>
      </c>
    </row>
    <row r="379" ht="14.25" customHeight="1">
      <c r="A379" s="2" t="s">
        <v>78</v>
      </c>
      <c r="B379" s="2" t="s">
        <v>21</v>
      </c>
      <c r="C379" s="2" t="s">
        <v>43</v>
      </c>
      <c r="D379" s="2">
        <v>0.0</v>
      </c>
      <c r="E379" s="2">
        <v>0.0</v>
      </c>
      <c r="F379" s="2">
        <v>0.0</v>
      </c>
      <c r="G379" s="2">
        <v>0.0</v>
      </c>
      <c r="H379" s="2">
        <v>0.0</v>
      </c>
    </row>
    <row r="380" ht="14.25" customHeight="1">
      <c r="A380" s="2" t="s">
        <v>78</v>
      </c>
      <c r="B380" s="2" t="s">
        <v>21</v>
      </c>
      <c r="C380" s="2" t="s">
        <v>59</v>
      </c>
      <c r="D380" s="2">
        <v>0.0</v>
      </c>
      <c r="E380" s="2">
        <v>0.0</v>
      </c>
      <c r="F380" s="2">
        <v>0.0</v>
      </c>
      <c r="G380" s="2">
        <v>0.0</v>
      </c>
      <c r="H380" s="2">
        <v>0.0</v>
      </c>
    </row>
    <row r="381" ht="14.25" customHeight="1">
      <c r="A381" s="2" t="s">
        <v>78</v>
      </c>
      <c r="B381" s="2" t="s">
        <v>212</v>
      </c>
      <c r="C381" s="2" t="s">
        <v>42</v>
      </c>
      <c r="D381" s="2">
        <v>0.0</v>
      </c>
      <c r="E381" s="2">
        <v>0.0</v>
      </c>
      <c r="F381" s="2">
        <v>0.0</v>
      </c>
      <c r="G381" s="2">
        <v>0.0</v>
      </c>
      <c r="H381" s="2">
        <v>0.0</v>
      </c>
    </row>
    <row r="382" ht="14.25" customHeight="1">
      <c r="A382" s="2" t="s">
        <v>78</v>
      </c>
      <c r="B382" s="2" t="s">
        <v>212</v>
      </c>
      <c r="C382" s="2" t="s">
        <v>41</v>
      </c>
      <c r="D382" s="2">
        <v>0.0</v>
      </c>
      <c r="E382" s="2">
        <v>0.0</v>
      </c>
      <c r="F382" s="2">
        <v>0.0</v>
      </c>
      <c r="G382" s="2">
        <v>0.0</v>
      </c>
      <c r="H382" s="2">
        <v>0.0</v>
      </c>
    </row>
    <row r="383" ht="14.25" customHeight="1">
      <c r="A383" s="2" t="s">
        <v>78</v>
      </c>
      <c r="B383" s="2" t="s">
        <v>212</v>
      </c>
      <c r="C383" s="2" t="s">
        <v>43</v>
      </c>
      <c r="D383" s="2">
        <v>0.0</v>
      </c>
      <c r="E383" s="2">
        <v>0.0</v>
      </c>
      <c r="F383" s="2">
        <v>0.0</v>
      </c>
      <c r="G383" s="2">
        <v>0.0</v>
      </c>
      <c r="H383" s="2">
        <v>0.0</v>
      </c>
    </row>
    <row r="384" ht="14.25" customHeight="1">
      <c r="A384" s="2" t="s">
        <v>78</v>
      </c>
      <c r="B384" s="2" t="s">
        <v>212</v>
      </c>
      <c r="C384" s="2" t="s">
        <v>59</v>
      </c>
      <c r="D384" s="2">
        <v>0.0</v>
      </c>
      <c r="E384" s="2">
        <v>0.0</v>
      </c>
      <c r="F384" s="2">
        <v>0.0</v>
      </c>
      <c r="G384" s="2">
        <v>0.0</v>
      </c>
      <c r="H384" s="2">
        <v>0.0</v>
      </c>
    </row>
    <row r="385" ht="14.25" customHeight="1">
      <c r="A385" s="2" t="s">
        <v>78</v>
      </c>
      <c r="B385" s="2" t="s">
        <v>21</v>
      </c>
      <c r="C385" s="2" t="s">
        <v>10</v>
      </c>
      <c r="D385" s="2">
        <v>0.0</v>
      </c>
      <c r="E385" s="2">
        <v>0.0</v>
      </c>
      <c r="F385" s="2">
        <v>0.0</v>
      </c>
      <c r="G385" s="2">
        <v>0.0</v>
      </c>
      <c r="H385" s="2">
        <v>0.0</v>
      </c>
    </row>
    <row r="386" ht="14.25" customHeight="1">
      <c r="A386" s="2" t="s">
        <v>78</v>
      </c>
      <c r="B386" s="2" t="s">
        <v>22</v>
      </c>
      <c r="C386" s="2" t="s">
        <v>60</v>
      </c>
      <c r="D386" s="2">
        <v>0.0</v>
      </c>
      <c r="E386" s="2">
        <v>0.0</v>
      </c>
      <c r="F386" s="2">
        <v>0.0</v>
      </c>
      <c r="G386" s="2">
        <v>0.0</v>
      </c>
      <c r="H386" s="2">
        <v>0.0</v>
      </c>
    </row>
    <row r="387" ht="14.25" customHeight="1">
      <c r="A387" s="2" t="s">
        <v>78</v>
      </c>
      <c r="B387" s="2" t="s">
        <v>22</v>
      </c>
      <c r="C387" s="2" t="s">
        <v>61</v>
      </c>
      <c r="D387" s="2">
        <v>0.0</v>
      </c>
      <c r="E387" s="2">
        <v>0.0</v>
      </c>
      <c r="F387" s="2">
        <v>0.0</v>
      </c>
      <c r="G387" s="2">
        <v>0.0</v>
      </c>
      <c r="H387" s="2">
        <v>0.0</v>
      </c>
    </row>
    <row r="388" ht="14.25" customHeight="1">
      <c r="A388" s="2" t="s">
        <v>78</v>
      </c>
      <c r="B388" s="2" t="s">
        <v>22</v>
      </c>
      <c r="C388" s="2" t="s">
        <v>62</v>
      </c>
      <c r="D388" s="2">
        <v>0.0</v>
      </c>
      <c r="E388" s="2">
        <v>0.0</v>
      </c>
      <c r="F388" s="2">
        <v>0.0</v>
      </c>
      <c r="G388" s="2">
        <v>0.0</v>
      </c>
      <c r="H388" s="2">
        <v>0.0</v>
      </c>
    </row>
    <row r="389" ht="14.25" customHeight="1">
      <c r="A389" s="2" t="s">
        <v>78</v>
      </c>
      <c r="B389" s="2" t="s">
        <v>214</v>
      </c>
      <c r="C389" s="2" t="s">
        <v>60</v>
      </c>
      <c r="D389" s="2">
        <v>0.0</v>
      </c>
      <c r="E389" s="2">
        <v>0.0</v>
      </c>
      <c r="F389" s="2">
        <v>0.0</v>
      </c>
      <c r="G389" s="2">
        <v>0.0</v>
      </c>
      <c r="H389" s="2">
        <v>0.0</v>
      </c>
    </row>
    <row r="390" ht="14.25" customHeight="1">
      <c r="A390" s="2" t="s">
        <v>78</v>
      </c>
      <c r="B390" s="2" t="s">
        <v>214</v>
      </c>
      <c r="C390" s="2" t="s">
        <v>61</v>
      </c>
      <c r="D390" s="2">
        <v>0.0</v>
      </c>
      <c r="E390" s="2">
        <v>0.0</v>
      </c>
      <c r="F390" s="2">
        <v>0.0</v>
      </c>
      <c r="G390" s="2">
        <v>0.0</v>
      </c>
      <c r="H390" s="2">
        <v>0.0</v>
      </c>
    </row>
    <row r="391" ht="14.25" customHeight="1">
      <c r="A391" s="2" t="s">
        <v>78</v>
      </c>
      <c r="B391" s="2" t="s">
        <v>214</v>
      </c>
      <c r="C391" s="2" t="s">
        <v>62</v>
      </c>
      <c r="D391" s="2">
        <v>0.0</v>
      </c>
      <c r="E391" s="2">
        <v>0.0</v>
      </c>
      <c r="F391" s="2">
        <v>0.0</v>
      </c>
      <c r="G391" s="2">
        <v>0.0</v>
      </c>
      <c r="H391" s="2">
        <v>0.0</v>
      </c>
    </row>
    <row r="392" ht="14.25" customHeight="1">
      <c r="A392" s="2" t="s">
        <v>78</v>
      </c>
      <c r="B392" s="2" t="s">
        <v>22</v>
      </c>
      <c r="C392" s="2" t="s">
        <v>10</v>
      </c>
      <c r="D392" s="2">
        <v>0.0</v>
      </c>
      <c r="E392" s="2">
        <v>0.0</v>
      </c>
      <c r="F392" s="2">
        <v>0.0</v>
      </c>
      <c r="G392" s="2">
        <v>0.0</v>
      </c>
      <c r="H392" s="2">
        <v>0.0</v>
      </c>
    </row>
    <row r="393" ht="14.25" customHeight="1">
      <c r="A393" s="2" t="s">
        <v>78</v>
      </c>
      <c r="B393" s="2" t="s">
        <v>70</v>
      </c>
      <c r="C393" s="2" t="s">
        <v>24</v>
      </c>
      <c r="D393" s="2">
        <v>99.258228682536</v>
      </c>
      <c r="E393" s="2">
        <v>0.14172713247</v>
      </c>
      <c r="F393" s="2">
        <v>2773.210170130092</v>
      </c>
      <c r="G393" s="2">
        <v>0.878871279363</v>
      </c>
      <c r="H393" s="2">
        <v>0.0163565704298535</v>
      </c>
    </row>
    <row r="394" ht="14.25" customHeight="1">
      <c r="A394" s="2" t="s">
        <v>78</v>
      </c>
      <c r="B394" s="2" t="s">
        <v>70</v>
      </c>
      <c r="C394" s="2" t="s">
        <v>24</v>
      </c>
      <c r="D394" s="2">
        <v>10661.49284771172</v>
      </c>
      <c r="E394" s="2">
        <v>13.5845180896</v>
      </c>
      <c r="F394" s="2">
        <v>274180.0052784643</v>
      </c>
      <c r="G394" s="2">
        <v>78.324288898835</v>
      </c>
      <c r="H394" s="2">
        <v>1.441438011498632</v>
      </c>
    </row>
    <row r="395" ht="14.25" customHeight="1">
      <c r="A395" s="2" t="s">
        <v>78</v>
      </c>
      <c r="B395" s="2" t="s">
        <v>70</v>
      </c>
      <c r="C395" s="2" t="s">
        <v>25</v>
      </c>
      <c r="D395" s="2">
        <v>386.143386800256</v>
      </c>
      <c r="E395" s="2">
        <v>1.31362814016</v>
      </c>
      <c r="F395" s="2">
        <v>7798.053006076032</v>
      </c>
      <c r="G395" s="2">
        <v>4.949363526048</v>
      </c>
      <c r="H395" s="2">
        <v>0.009603081607536</v>
      </c>
    </row>
    <row r="396" ht="14.25" customHeight="1">
      <c r="A396" s="2" t="s">
        <v>78</v>
      </c>
      <c r="B396" s="2" t="s">
        <v>70</v>
      </c>
      <c r="C396" s="2" t="s">
        <v>25</v>
      </c>
      <c r="D396" s="2">
        <v>64.16561929024</v>
      </c>
      <c r="E396" s="2">
        <v>0.2185740336</v>
      </c>
      <c r="F396" s="2">
        <v>1297.17809830128</v>
      </c>
      <c r="G396" s="2">
        <v>0.82669959892</v>
      </c>
      <c r="H396" s="2">
        <v>0.00160294076644</v>
      </c>
    </row>
    <row r="397" ht="14.25" customHeight="1">
      <c r="A397" s="2" t="s">
        <v>78</v>
      </c>
      <c r="B397" s="2" t="s">
        <v>70</v>
      </c>
      <c r="C397" s="2" t="s">
        <v>25</v>
      </c>
      <c r="D397" s="2">
        <v>149.802041958368</v>
      </c>
      <c r="E397" s="2">
        <v>0.51028630152</v>
      </c>
      <c r="F397" s="2">
        <v>3028.411944880296</v>
      </c>
      <c r="G397" s="2">
        <v>1.930025602094</v>
      </c>
      <c r="H397" s="2">
        <v>0.003742250173958</v>
      </c>
    </row>
    <row r="398" ht="14.25" customHeight="1">
      <c r="A398" s="2" t="s">
        <v>78</v>
      </c>
      <c r="B398" s="2" t="s">
        <v>70</v>
      </c>
      <c r="C398" s="2" t="s">
        <v>25</v>
      </c>
      <c r="D398" s="2">
        <v>16.00031036477808</v>
      </c>
      <c r="E398" s="2">
        <v>0.04622404302252</v>
      </c>
      <c r="F398" s="2">
        <v>392.8540992519675</v>
      </c>
      <c r="G398" s="2">
        <v>0.2005789781358</v>
      </c>
      <c r="H398" s="2">
        <v>3.7962984176568E-4</v>
      </c>
    </row>
    <row r="399" ht="14.25" customHeight="1">
      <c r="A399" s="2" t="s">
        <v>78</v>
      </c>
      <c r="B399" s="2" t="s">
        <v>70</v>
      </c>
      <c r="C399" s="2" t="s">
        <v>25</v>
      </c>
      <c r="D399" s="2">
        <v>140.30061719128</v>
      </c>
      <c r="E399" s="2">
        <v>0.4050271348248</v>
      </c>
      <c r="F399" s="2">
        <v>3434.487957614633</v>
      </c>
      <c r="G399" s="2">
        <v>1.7448845479224</v>
      </c>
      <c r="H399" s="2">
        <v>0.003306216611888</v>
      </c>
    </row>
    <row r="400" ht="14.25" customHeight="1">
      <c r="A400" s="2" t="s">
        <v>78</v>
      </c>
      <c r="B400" s="2" t="s">
        <v>70</v>
      </c>
      <c r="C400" s="2" t="s">
        <v>31</v>
      </c>
      <c r="D400" s="2">
        <v>303.1542745923035</v>
      </c>
      <c r="E400" s="2">
        <v>0.10245449534544</v>
      </c>
      <c r="F400" s="2">
        <v>6083.492998914967</v>
      </c>
      <c r="G400" s="2">
        <v>3.305853120017448</v>
      </c>
      <c r="H400" s="2">
        <v>0.007413077988223236</v>
      </c>
    </row>
    <row r="401" ht="14.25" customHeight="1">
      <c r="A401" s="2" t="s">
        <v>78</v>
      </c>
      <c r="B401" s="2" t="s">
        <v>70</v>
      </c>
      <c r="C401" s="2" t="s">
        <v>31</v>
      </c>
      <c r="D401" s="2">
        <v>355.822730658508</v>
      </c>
      <c r="E401" s="2">
        <v>7.52238044332</v>
      </c>
      <c r="F401" s="2">
        <v>9562.670065021875</v>
      </c>
      <c r="G401" s="2">
        <v>5.177606264189</v>
      </c>
      <c r="H401" s="2">
        <v>0.0106144347426105</v>
      </c>
    </row>
    <row r="402" ht="14.25" customHeight="1">
      <c r="A402" s="2" t="s">
        <v>78</v>
      </c>
      <c r="B402" s="2" t="s">
        <v>70</v>
      </c>
      <c r="C402" s="2" t="s">
        <v>32</v>
      </c>
      <c r="D402" s="2">
        <v>330.222889139325</v>
      </c>
      <c r="E402" s="2">
        <v>1.110699639075</v>
      </c>
      <c r="F402" s="2">
        <v>9065.63892933075</v>
      </c>
      <c r="G402" s="2">
        <v>6.741032193675</v>
      </c>
      <c r="H402" s="2">
        <v>0.03134626365</v>
      </c>
    </row>
    <row r="403" ht="14.25" customHeight="1">
      <c r="A403" s="2" t="s">
        <v>78</v>
      </c>
      <c r="B403" s="2" t="s">
        <v>70</v>
      </c>
      <c r="C403" s="2" t="s">
        <v>32</v>
      </c>
      <c r="D403" s="2">
        <v>161.02926548352</v>
      </c>
      <c r="E403" s="2">
        <v>0.5081455428</v>
      </c>
      <c r="F403" s="2">
        <v>4273.7495959704</v>
      </c>
      <c r="G403" s="2">
        <v>2.7671352408</v>
      </c>
      <c r="H403" s="2">
        <v>0.01338296568</v>
      </c>
    </row>
    <row r="404" ht="14.25" customHeight="1">
      <c r="A404" s="2" t="s">
        <v>78</v>
      </c>
      <c r="B404" s="2" t="s">
        <v>70</v>
      </c>
      <c r="C404" s="2" t="s">
        <v>26</v>
      </c>
      <c r="D404" s="2">
        <v>1446.726556278875</v>
      </c>
      <c r="E404" s="2">
        <v>4.114681246</v>
      </c>
      <c r="F404" s="2">
        <v>30292.8546913875</v>
      </c>
      <c r="G404" s="2">
        <v>21.53584289275</v>
      </c>
      <c r="H404" s="2">
        <v>0.10119595975</v>
      </c>
    </row>
    <row r="405" ht="14.25" customHeight="1">
      <c r="A405" s="2" t="s">
        <v>78</v>
      </c>
      <c r="B405" s="2" t="s">
        <v>70</v>
      </c>
      <c r="C405" s="2" t="s">
        <v>33</v>
      </c>
      <c r="D405" s="2">
        <v>870.95854755638</v>
      </c>
      <c r="E405" s="2">
        <v>11.18054190036</v>
      </c>
      <c r="F405" s="2">
        <v>128309.5959828868</v>
      </c>
      <c r="G405" s="2">
        <v>34.90610447704</v>
      </c>
      <c r="H405" s="2">
        <v>0.126346758108</v>
      </c>
    </row>
    <row r="406" ht="14.25" customHeight="1">
      <c r="A406" s="2" t="s">
        <v>78</v>
      </c>
      <c r="B406" s="2" t="s">
        <v>70</v>
      </c>
      <c r="C406" s="2" t="s">
        <v>33</v>
      </c>
      <c r="D406" s="2">
        <v>642.4733134961</v>
      </c>
      <c r="E406" s="2">
        <v>8.2474646142</v>
      </c>
      <c r="F406" s="2">
        <v>94649.155824646</v>
      </c>
      <c r="G406" s="2">
        <v>25.7489184388</v>
      </c>
      <c r="H406" s="2">
        <v>0.09320124426</v>
      </c>
    </row>
    <row r="407" ht="14.25" customHeight="1">
      <c r="A407" s="2" t="s">
        <v>78</v>
      </c>
      <c r="B407" s="2" t="s">
        <v>70</v>
      </c>
      <c r="C407" s="2" t="s">
        <v>33</v>
      </c>
      <c r="D407" s="2">
        <v>1010.28433056088</v>
      </c>
      <c r="E407" s="2">
        <v>12.96907449936</v>
      </c>
      <c r="F407" s="2">
        <v>148835.0675767568</v>
      </c>
      <c r="G407" s="2">
        <v>40.48997566304</v>
      </c>
      <c r="H407" s="2">
        <v>0.146558237808</v>
      </c>
    </row>
    <row r="408" ht="14.25" customHeight="1">
      <c r="A408" s="2" t="s">
        <v>78</v>
      </c>
      <c r="B408" s="2" t="s">
        <v>70</v>
      </c>
      <c r="C408" s="2" t="s">
        <v>33</v>
      </c>
      <c r="D408" s="2">
        <v>722.14195918411</v>
      </c>
      <c r="E408" s="2">
        <v>9.27017532042</v>
      </c>
      <c r="F408" s="2">
        <v>106385.9391301346</v>
      </c>
      <c r="G408" s="2">
        <v>28.94186266988</v>
      </c>
      <c r="H408" s="2">
        <v>0.104758482126</v>
      </c>
    </row>
    <row r="409" ht="14.25" customHeight="1">
      <c r="A409" s="2" t="s">
        <v>78</v>
      </c>
      <c r="B409" s="2" t="s">
        <v>215</v>
      </c>
      <c r="C409" s="2" t="s">
        <v>24</v>
      </c>
      <c r="D409" s="2">
        <v>0.0</v>
      </c>
      <c r="E409" s="2">
        <v>0.0</v>
      </c>
      <c r="F409" s="2">
        <v>0.0</v>
      </c>
      <c r="G409" s="2">
        <v>0.0</v>
      </c>
      <c r="H409" s="2">
        <v>0.0</v>
      </c>
    </row>
    <row r="410" ht="14.25" customHeight="1">
      <c r="A410" s="2" t="s">
        <v>78</v>
      </c>
      <c r="B410" s="2" t="s">
        <v>215</v>
      </c>
      <c r="C410" s="2" t="s">
        <v>24</v>
      </c>
      <c r="D410" s="2">
        <v>0.0</v>
      </c>
      <c r="E410" s="2">
        <v>0.0</v>
      </c>
      <c r="F410" s="2">
        <v>0.0</v>
      </c>
      <c r="G410" s="2">
        <v>0.0</v>
      </c>
      <c r="H410" s="2">
        <v>0.0</v>
      </c>
    </row>
    <row r="411" ht="14.25" customHeight="1">
      <c r="A411" s="2" t="s">
        <v>78</v>
      </c>
      <c r="B411" s="2" t="s">
        <v>215</v>
      </c>
      <c r="C411" s="2" t="s">
        <v>25</v>
      </c>
      <c r="D411" s="2">
        <v>0.0</v>
      </c>
      <c r="E411" s="2">
        <v>0.0</v>
      </c>
      <c r="F411" s="2">
        <v>0.0</v>
      </c>
      <c r="G411" s="2">
        <v>0.0</v>
      </c>
      <c r="H411" s="2">
        <v>0.0</v>
      </c>
    </row>
    <row r="412" ht="14.25" customHeight="1">
      <c r="A412" s="2" t="s">
        <v>78</v>
      </c>
      <c r="B412" s="2" t="s">
        <v>215</v>
      </c>
      <c r="C412" s="2" t="s">
        <v>25</v>
      </c>
      <c r="D412" s="2">
        <v>0.0</v>
      </c>
      <c r="E412" s="2">
        <v>0.0</v>
      </c>
      <c r="F412" s="2">
        <v>0.0</v>
      </c>
      <c r="G412" s="2">
        <v>0.0</v>
      </c>
      <c r="H412" s="2">
        <v>0.0</v>
      </c>
    </row>
    <row r="413" ht="14.25" customHeight="1">
      <c r="A413" s="2" t="s">
        <v>78</v>
      </c>
      <c r="B413" s="2" t="s">
        <v>215</v>
      </c>
      <c r="C413" s="2" t="s">
        <v>25</v>
      </c>
      <c r="D413" s="2">
        <v>0.0</v>
      </c>
      <c r="E413" s="2">
        <v>0.0</v>
      </c>
      <c r="F413" s="2">
        <v>0.0</v>
      </c>
      <c r="G413" s="2">
        <v>0.0</v>
      </c>
      <c r="H413" s="2">
        <v>0.0</v>
      </c>
    </row>
    <row r="414" ht="14.25" customHeight="1">
      <c r="A414" s="2" t="s">
        <v>78</v>
      </c>
      <c r="B414" s="2" t="s">
        <v>215</v>
      </c>
      <c r="C414" s="2" t="s">
        <v>25</v>
      </c>
      <c r="D414" s="2">
        <v>0.0</v>
      </c>
      <c r="E414" s="2">
        <v>0.0</v>
      </c>
      <c r="F414" s="2">
        <v>0.0</v>
      </c>
      <c r="G414" s="2">
        <v>0.0</v>
      </c>
      <c r="H414" s="2">
        <v>0.0</v>
      </c>
    </row>
    <row r="415" ht="14.25" customHeight="1">
      <c r="A415" s="2" t="s">
        <v>78</v>
      </c>
      <c r="B415" s="2" t="s">
        <v>215</v>
      </c>
      <c r="C415" s="2" t="s">
        <v>25</v>
      </c>
      <c r="D415" s="2">
        <v>0.0</v>
      </c>
      <c r="E415" s="2">
        <v>0.0</v>
      </c>
      <c r="F415" s="2">
        <v>0.0</v>
      </c>
      <c r="G415" s="2">
        <v>0.0</v>
      </c>
      <c r="H415" s="2">
        <v>0.0</v>
      </c>
    </row>
    <row r="416" ht="14.25" customHeight="1">
      <c r="A416" s="2" t="s">
        <v>78</v>
      </c>
      <c r="B416" s="2" t="s">
        <v>215</v>
      </c>
      <c r="C416" s="2" t="s">
        <v>31</v>
      </c>
      <c r="D416" s="2">
        <v>0.0</v>
      </c>
      <c r="E416" s="2">
        <v>0.0</v>
      </c>
      <c r="F416" s="2">
        <v>0.0</v>
      </c>
      <c r="G416" s="2">
        <v>0.0</v>
      </c>
      <c r="H416" s="2">
        <v>0.0</v>
      </c>
    </row>
    <row r="417" ht="14.25" customHeight="1">
      <c r="A417" s="2" t="s">
        <v>78</v>
      </c>
      <c r="B417" s="2" t="s">
        <v>215</v>
      </c>
      <c r="C417" s="2" t="s">
        <v>31</v>
      </c>
      <c r="D417" s="2">
        <v>0.0</v>
      </c>
      <c r="E417" s="2">
        <v>0.0</v>
      </c>
      <c r="F417" s="2">
        <v>0.0</v>
      </c>
      <c r="G417" s="2">
        <v>0.0</v>
      </c>
      <c r="H417" s="2">
        <v>0.0</v>
      </c>
    </row>
    <row r="418" ht="14.25" customHeight="1">
      <c r="A418" s="2" t="s">
        <v>78</v>
      </c>
      <c r="B418" s="2" t="s">
        <v>215</v>
      </c>
      <c r="C418" s="2" t="s">
        <v>32</v>
      </c>
      <c r="D418" s="2">
        <v>0.0</v>
      </c>
      <c r="E418" s="2">
        <v>0.0</v>
      </c>
      <c r="F418" s="2">
        <v>0.0</v>
      </c>
      <c r="G418" s="2">
        <v>0.0</v>
      </c>
      <c r="H418" s="2">
        <v>0.0</v>
      </c>
    </row>
    <row r="419" ht="14.25" customHeight="1">
      <c r="A419" s="2" t="s">
        <v>78</v>
      </c>
      <c r="B419" s="2" t="s">
        <v>215</v>
      </c>
      <c r="C419" s="2" t="s">
        <v>32</v>
      </c>
      <c r="D419" s="2">
        <v>0.0</v>
      </c>
      <c r="E419" s="2">
        <v>0.0</v>
      </c>
      <c r="F419" s="2">
        <v>0.0</v>
      </c>
      <c r="G419" s="2">
        <v>0.0</v>
      </c>
      <c r="H419" s="2">
        <v>0.0</v>
      </c>
    </row>
    <row r="420" ht="14.25" customHeight="1">
      <c r="A420" s="2" t="s">
        <v>78</v>
      </c>
      <c r="B420" s="2" t="s">
        <v>215</v>
      </c>
      <c r="C420" s="2" t="s">
        <v>26</v>
      </c>
      <c r="D420" s="2">
        <v>0.0</v>
      </c>
      <c r="E420" s="2">
        <v>0.0</v>
      </c>
      <c r="F420" s="2">
        <v>0.0</v>
      </c>
      <c r="G420" s="2">
        <v>0.0</v>
      </c>
      <c r="H420" s="2">
        <v>0.0</v>
      </c>
    </row>
    <row r="421" ht="14.25" customHeight="1">
      <c r="A421" s="2" t="s">
        <v>78</v>
      </c>
      <c r="B421" s="2" t="s">
        <v>215</v>
      </c>
      <c r="C421" s="2" t="s">
        <v>33</v>
      </c>
      <c r="D421" s="2">
        <v>0.0</v>
      </c>
      <c r="E421" s="2">
        <v>0.0</v>
      </c>
      <c r="F421" s="2">
        <v>0.0</v>
      </c>
      <c r="G421" s="2">
        <v>0.0</v>
      </c>
      <c r="H421" s="2">
        <v>0.0</v>
      </c>
    </row>
    <row r="422" ht="14.25" customHeight="1">
      <c r="A422" s="2" t="s">
        <v>78</v>
      </c>
      <c r="B422" s="2" t="s">
        <v>215</v>
      </c>
      <c r="C422" s="2" t="s">
        <v>33</v>
      </c>
      <c r="D422" s="2">
        <v>0.0</v>
      </c>
      <c r="E422" s="2">
        <v>0.0</v>
      </c>
      <c r="F422" s="2">
        <v>0.0</v>
      </c>
      <c r="G422" s="2">
        <v>0.0</v>
      </c>
      <c r="H422" s="2">
        <v>0.0</v>
      </c>
    </row>
    <row r="423" ht="14.25" customHeight="1">
      <c r="A423" s="2" t="s">
        <v>78</v>
      </c>
      <c r="B423" s="2" t="s">
        <v>215</v>
      </c>
      <c r="C423" s="2" t="s">
        <v>33</v>
      </c>
      <c r="D423" s="2">
        <v>0.0</v>
      </c>
      <c r="E423" s="2">
        <v>0.0</v>
      </c>
      <c r="F423" s="2">
        <v>0.0</v>
      </c>
      <c r="G423" s="2">
        <v>0.0</v>
      </c>
      <c r="H423" s="2">
        <v>0.0</v>
      </c>
    </row>
    <row r="424" ht="14.25" customHeight="1">
      <c r="A424" s="2" t="s">
        <v>78</v>
      </c>
      <c r="B424" s="2" t="s">
        <v>215</v>
      </c>
      <c r="C424" s="2" t="s">
        <v>33</v>
      </c>
      <c r="D424" s="2">
        <v>0.0</v>
      </c>
      <c r="E424" s="2">
        <v>0.0</v>
      </c>
      <c r="F424" s="2">
        <v>0.0</v>
      </c>
      <c r="G424" s="2">
        <v>0.0</v>
      </c>
      <c r="H424" s="2">
        <v>0.0</v>
      </c>
    </row>
    <row r="425" ht="14.25" customHeight="1">
      <c r="A425" s="2" t="s">
        <v>78</v>
      </c>
      <c r="B425" s="2" t="s">
        <v>70</v>
      </c>
      <c r="C425" s="2" t="s">
        <v>10</v>
      </c>
      <c r="D425" s="2">
        <v>17359.97691894918</v>
      </c>
      <c r="E425" s="2">
        <v>71.24560257607776</v>
      </c>
      <c r="F425" s="2">
        <v>830362.3653497683</v>
      </c>
      <c r="G425" s="2">
        <v>258.4690433915097</v>
      </c>
      <c r="H425" s="2">
        <v>2.111246125042908</v>
      </c>
    </row>
    <row r="426" ht="14.25" customHeight="1">
      <c r="A426" s="2" t="s">
        <v>78</v>
      </c>
      <c r="B426" s="2" t="s">
        <v>71</v>
      </c>
      <c r="C426" s="2" t="s">
        <v>10</v>
      </c>
      <c r="D426" s="2">
        <v>0.0</v>
      </c>
      <c r="E426" s="2">
        <v>0.0</v>
      </c>
      <c r="F426" s="2">
        <v>0.0</v>
      </c>
      <c r="G426" s="2">
        <v>0.0</v>
      </c>
      <c r="H426" s="2">
        <v>0.0</v>
      </c>
    </row>
    <row r="427" ht="14.25" customHeight="1">
      <c r="A427" s="2" t="s">
        <v>78</v>
      </c>
      <c r="B427" s="2" t="s">
        <v>18</v>
      </c>
      <c r="C427" s="2" t="s">
        <v>10</v>
      </c>
      <c r="D427" s="2">
        <v>0.0</v>
      </c>
      <c r="E427" s="2">
        <v>0.0</v>
      </c>
      <c r="F427" s="2">
        <v>0.0</v>
      </c>
      <c r="G427" s="2">
        <v>0.0</v>
      </c>
      <c r="H427" s="2">
        <v>0.0</v>
      </c>
    </row>
    <row r="428" ht="14.25" customHeight="1">
      <c r="A428" s="2" t="s">
        <v>79</v>
      </c>
      <c r="B428" s="2" t="s">
        <v>80</v>
      </c>
      <c r="C428" s="2" t="s">
        <v>81</v>
      </c>
      <c r="D428" s="2">
        <v>37.13014962636987</v>
      </c>
      <c r="E428" s="2">
        <v>0.3591673939341479</v>
      </c>
      <c r="F428" s="2">
        <v>485.4007175017529</v>
      </c>
      <c r="G428" s="2">
        <v>0.2305420075436957</v>
      </c>
      <c r="H428" s="2">
        <v>9.172993599366009E-4</v>
      </c>
    </row>
    <row r="429" ht="14.25" customHeight="1">
      <c r="A429" s="2" t="s">
        <v>79</v>
      </c>
      <c r="B429" s="2" t="s">
        <v>80</v>
      </c>
      <c r="C429" s="2" t="s">
        <v>81</v>
      </c>
      <c r="D429" s="2">
        <v>0.2793639084552</v>
      </c>
      <c r="E429" s="2">
        <v>0.00137496953258</v>
      </c>
      <c r="F429" s="2">
        <v>7.011120125834054</v>
      </c>
      <c r="G429" s="2">
        <v>0.00351624215834</v>
      </c>
      <c r="H429" s="2">
        <v>1.010567810848E-5</v>
      </c>
    </row>
    <row r="430" ht="14.25" customHeight="1">
      <c r="A430" s="2" t="s">
        <v>79</v>
      </c>
      <c r="B430" s="2" t="s">
        <v>80</v>
      </c>
      <c r="C430" s="2" t="s">
        <v>81</v>
      </c>
      <c r="D430" s="2">
        <v>1073.834417142166</v>
      </c>
      <c r="E430" s="2">
        <v>99.14317187044799</v>
      </c>
      <c r="F430" s="2">
        <v>18350.05725252437</v>
      </c>
      <c r="G430" s="2">
        <v>12.3939584943944</v>
      </c>
      <c r="H430" s="2">
        <v>0.04848023756105332</v>
      </c>
    </row>
    <row r="431" ht="14.25" customHeight="1">
      <c r="A431" s="2" t="s">
        <v>79</v>
      </c>
      <c r="B431" s="2" t="s">
        <v>80</v>
      </c>
      <c r="C431" s="2" t="s">
        <v>81</v>
      </c>
      <c r="D431" s="2">
        <v>291.9082375249918</v>
      </c>
      <c r="E431" s="2">
        <v>2.827073091159631</v>
      </c>
      <c r="F431" s="2">
        <v>3815.856449545362</v>
      </c>
      <c r="G431" s="2">
        <v>1.815022885785416</v>
      </c>
      <c r="H431" s="2">
        <v>0.007221212039363292</v>
      </c>
    </row>
    <row r="432" ht="14.25" customHeight="1">
      <c r="A432" s="2" t="s">
        <v>79</v>
      </c>
      <c r="B432" s="2" t="s">
        <v>80</v>
      </c>
      <c r="C432" s="2" t="s">
        <v>81</v>
      </c>
      <c r="D432" s="2">
        <v>158.025658403</v>
      </c>
      <c r="E432" s="2">
        <v>0.11324351872</v>
      </c>
      <c r="F432" s="2">
        <v>2146.10736929</v>
      </c>
      <c r="G432" s="2">
        <v>0.959738304045</v>
      </c>
      <c r="H432" s="2">
        <v>0.00447391736</v>
      </c>
    </row>
    <row r="433" ht="14.25" customHeight="1">
      <c r="A433" s="2" t="s">
        <v>79</v>
      </c>
      <c r="B433" s="2" t="s">
        <v>80</v>
      </c>
      <c r="C433" s="2" t="s">
        <v>81</v>
      </c>
      <c r="D433" s="2">
        <v>116.5915436717345</v>
      </c>
      <c r="E433" s="2">
        <v>4.789373385683706</v>
      </c>
      <c r="F433" s="2">
        <v>2155.935210688656</v>
      </c>
      <c r="G433" s="2">
        <v>0.971045623247321</v>
      </c>
      <c r="H433" s="2">
        <v>0.00431285425397928</v>
      </c>
    </row>
    <row r="434" ht="14.25" customHeight="1">
      <c r="A434" s="2" t="s">
        <v>79</v>
      </c>
      <c r="B434" s="2" t="s">
        <v>80</v>
      </c>
      <c r="C434" s="2" t="s">
        <v>16</v>
      </c>
      <c r="D434" s="2">
        <v>49.27609838403</v>
      </c>
      <c r="E434" s="2">
        <v>0.646252683363</v>
      </c>
      <c r="F434" s="2">
        <v>1283.21743219614</v>
      </c>
      <c r="G434" s="2">
        <v>6.41395699887726</v>
      </c>
      <c r="H434" s="2">
        <v>0.573318206983242</v>
      </c>
    </row>
    <row r="435" ht="14.25" customHeight="1">
      <c r="A435" s="2" t="s">
        <v>79</v>
      </c>
      <c r="B435" s="2" t="s">
        <v>80</v>
      </c>
      <c r="C435" s="2" t="s">
        <v>17</v>
      </c>
      <c r="D435" s="2">
        <v>15.531476085</v>
      </c>
      <c r="E435" s="2">
        <v>0.03774771945</v>
      </c>
      <c r="F435" s="2">
        <v>412.5920139825</v>
      </c>
      <c r="G435" s="2">
        <v>0.302365738875</v>
      </c>
      <c r="H435" s="2">
        <v>0.0011448751845</v>
      </c>
    </row>
    <row r="436" ht="14.25" customHeight="1">
      <c r="A436" s="2" t="s">
        <v>79</v>
      </c>
      <c r="B436" s="2" t="s">
        <v>217</v>
      </c>
      <c r="C436" s="2" t="s">
        <v>81</v>
      </c>
      <c r="D436" s="2">
        <v>0.0</v>
      </c>
      <c r="E436" s="2">
        <v>0.0</v>
      </c>
      <c r="F436" s="2">
        <v>0.0</v>
      </c>
      <c r="G436" s="2">
        <v>0.0</v>
      </c>
      <c r="H436" s="2">
        <v>0.0</v>
      </c>
    </row>
    <row r="437" ht="14.25" customHeight="1">
      <c r="A437" s="2" t="s">
        <v>79</v>
      </c>
      <c r="B437" s="2" t="s">
        <v>217</v>
      </c>
      <c r="C437" s="2" t="s">
        <v>81</v>
      </c>
      <c r="D437" s="2">
        <v>0.0</v>
      </c>
      <c r="E437" s="2">
        <v>0.0</v>
      </c>
      <c r="F437" s="2">
        <v>0.0</v>
      </c>
      <c r="G437" s="2">
        <v>0.0</v>
      </c>
      <c r="H437" s="2">
        <v>0.0</v>
      </c>
    </row>
    <row r="438" ht="14.25" customHeight="1">
      <c r="A438" s="2" t="s">
        <v>79</v>
      </c>
      <c r="B438" s="2" t="s">
        <v>217</v>
      </c>
      <c r="C438" s="2" t="s">
        <v>81</v>
      </c>
      <c r="D438" s="2">
        <v>0.0</v>
      </c>
      <c r="E438" s="2">
        <v>0.0</v>
      </c>
      <c r="F438" s="2">
        <v>0.0</v>
      </c>
      <c r="G438" s="2">
        <v>0.0</v>
      </c>
      <c r="H438" s="2">
        <v>0.0</v>
      </c>
    </row>
    <row r="439" ht="14.25" customHeight="1">
      <c r="A439" s="2" t="s">
        <v>79</v>
      </c>
      <c r="B439" s="2" t="s">
        <v>217</v>
      </c>
      <c r="C439" s="2" t="s">
        <v>81</v>
      </c>
      <c r="D439" s="2">
        <v>0.0</v>
      </c>
      <c r="E439" s="2">
        <v>0.0</v>
      </c>
      <c r="F439" s="2">
        <v>0.0</v>
      </c>
      <c r="G439" s="2">
        <v>0.0</v>
      </c>
      <c r="H439" s="2">
        <v>0.0</v>
      </c>
    </row>
    <row r="440" ht="14.25" customHeight="1">
      <c r="A440" s="2" t="s">
        <v>79</v>
      </c>
      <c r="B440" s="2" t="s">
        <v>217</v>
      </c>
      <c r="C440" s="2" t="s">
        <v>81</v>
      </c>
      <c r="D440" s="2">
        <v>0.0</v>
      </c>
      <c r="E440" s="2">
        <v>0.0</v>
      </c>
      <c r="F440" s="2">
        <v>0.0</v>
      </c>
      <c r="G440" s="2">
        <v>0.0</v>
      </c>
      <c r="H440" s="2">
        <v>0.0</v>
      </c>
    </row>
    <row r="441" ht="14.25" customHeight="1">
      <c r="A441" s="2" t="s">
        <v>79</v>
      </c>
      <c r="B441" s="2" t="s">
        <v>217</v>
      </c>
      <c r="C441" s="2" t="s">
        <v>81</v>
      </c>
      <c r="D441" s="2">
        <v>0.0</v>
      </c>
      <c r="E441" s="2">
        <v>0.0</v>
      </c>
      <c r="F441" s="2">
        <v>0.0</v>
      </c>
      <c r="G441" s="2">
        <v>0.0</v>
      </c>
      <c r="H441" s="2">
        <v>0.0</v>
      </c>
    </row>
    <row r="442" ht="14.25" customHeight="1">
      <c r="A442" s="2" t="s">
        <v>79</v>
      </c>
      <c r="B442" s="2" t="s">
        <v>217</v>
      </c>
      <c r="C442" s="2" t="s">
        <v>16</v>
      </c>
      <c r="D442" s="2">
        <v>0.0</v>
      </c>
      <c r="E442" s="2">
        <v>0.0</v>
      </c>
      <c r="F442" s="2">
        <v>0.0</v>
      </c>
      <c r="G442" s="2">
        <v>0.0</v>
      </c>
      <c r="H442" s="2">
        <v>0.0</v>
      </c>
    </row>
    <row r="443" ht="14.25" customHeight="1">
      <c r="A443" s="2" t="s">
        <v>79</v>
      </c>
      <c r="B443" s="2" t="s">
        <v>217</v>
      </c>
      <c r="C443" s="2" t="s">
        <v>17</v>
      </c>
      <c r="D443" s="2">
        <v>0.0</v>
      </c>
      <c r="E443" s="2">
        <v>0.0</v>
      </c>
      <c r="F443" s="2">
        <v>0.0</v>
      </c>
      <c r="G443" s="2">
        <v>0.0</v>
      </c>
      <c r="H443" s="2">
        <v>0.0</v>
      </c>
    </row>
    <row r="444" ht="14.25" customHeight="1">
      <c r="A444" s="2" t="s">
        <v>79</v>
      </c>
      <c r="B444" s="2" t="s">
        <v>80</v>
      </c>
      <c r="C444" s="2" t="s">
        <v>10</v>
      </c>
      <c r="D444" s="2">
        <v>1742.576944745747</v>
      </c>
      <c r="E444" s="2">
        <v>107.917404632291</v>
      </c>
      <c r="F444" s="2">
        <v>28656.17756585461</v>
      </c>
      <c r="G444" s="2">
        <v>23.09014629492643</v>
      </c>
      <c r="H444" s="2">
        <v>0.639878708420183</v>
      </c>
    </row>
    <row r="445" ht="14.25" customHeight="1">
      <c r="A445" s="2" t="s">
        <v>79</v>
      </c>
      <c r="B445" s="2" t="s">
        <v>18</v>
      </c>
      <c r="C445" s="2" t="s">
        <v>82</v>
      </c>
      <c r="D445" s="2">
        <v>0.0</v>
      </c>
      <c r="E445" s="2">
        <v>0.0</v>
      </c>
      <c r="F445" s="2">
        <v>0.0</v>
      </c>
      <c r="G445" s="2">
        <v>0.0</v>
      </c>
      <c r="H445" s="2">
        <v>0.0</v>
      </c>
    </row>
    <row r="446" ht="14.25" customHeight="1">
      <c r="A446" s="2" t="s">
        <v>79</v>
      </c>
      <c r="B446" s="2" t="s">
        <v>218</v>
      </c>
      <c r="C446" s="2" t="s">
        <v>82</v>
      </c>
      <c r="D446" s="2">
        <v>0.0</v>
      </c>
      <c r="E446" s="2">
        <v>0.0</v>
      </c>
      <c r="F446" s="2">
        <v>0.0</v>
      </c>
      <c r="G446" s="2">
        <v>0.0</v>
      </c>
      <c r="H446" s="2">
        <v>0.0</v>
      </c>
    </row>
    <row r="447" ht="14.25" customHeight="1">
      <c r="A447" s="2" t="s">
        <v>79</v>
      </c>
      <c r="B447" s="2" t="s">
        <v>18</v>
      </c>
      <c r="C447" s="2" t="s">
        <v>10</v>
      </c>
      <c r="D447" s="2">
        <v>0.0</v>
      </c>
      <c r="E447" s="2">
        <v>0.0</v>
      </c>
      <c r="F447" s="2">
        <v>0.0</v>
      </c>
      <c r="G447" s="2">
        <v>0.0</v>
      </c>
      <c r="H447" s="2">
        <v>0.0</v>
      </c>
    </row>
    <row r="448" ht="14.25" customHeight="1">
      <c r="A448" s="2" t="s">
        <v>83</v>
      </c>
      <c r="B448" s="2" t="s">
        <v>84</v>
      </c>
      <c r="C448" s="2" t="s">
        <v>85</v>
      </c>
      <c r="D448" s="2">
        <v>74.80813701092262</v>
      </c>
      <c r="E448" s="2">
        <v>3.072970020976773</v>
      </c>
      <c r="F448" s="2">
        <v>1383.302831878713</v>
      </c>
      <c r="G448" s="2">
        <v>0.6230453202341034</v>
      </c>
      <c r="H448" s="2">
        <v>0.002767226202243563</v>
      </c>
    </row>
    <row r="449" ht="14.25" customHeight="1">
      <c r="A449" s="2" t="s">
        <v>83</v>
      </c>
      <c r="B449" s="2" t="s">
        <v>84</v>
      </c>
      <c r="C449" s="2" t="s">
        <v>85</v>
      </c>
      <c r="D449" s="2">
        <v>15.63079093235328</v>
      </c>
      <c r="E449" s="2">
        <v>0.0775009216089</v>
      </c>
      <c r="F449" s="2">
        <v>394.9330568508676</v>
      </c>
      <c r="G449" s="2">
        <v>0.19944567338754</v>
      </c>
      <c r="H449" s="2">
        <v>5.727419838676801E-4</v>
      </c>
    </row>
    <row r="450" ht="14.25" customHeight="1">
      <c r="A450" s="2" t="s">
        <v>83</v>
      </c>
      <c r="B450" s="2" t="s">
        <v>84</v>
      </c>
      <c r="C450" s="2" t="s">
        <v>85</v>
      </c>
      <c r="D450" s="2">
        <v>1066.105733336208</v>
      </c>
      <c r="E450" s="2">
        <v>10.32379393397225</v>
      </c>
      <c r="F450" s="2">
        <v>13936.88151687508</v>
      </c>
      <c r="G450" s="2">
        <v>6.628061544908782</v>
      </c>
      <c r="H450" s="2">
        <v>0.02637007300421693</v>
      </c>
    </row>
    <row r="451" ht="14.25" customHeight="1">
      <c r="A451" s="2" t="s">
        <v>83</v>
      </c>
      <c r="B451" s="2" t="s">
        <v>84</v>
      </c>
      <c r="C451" s="2" t="s">
        <v>85</v>
      </c>
      <c r="D451" s="2">
        <v>303.6999438797046</v>
      </c>
      <c r="E451" s="2">
        <v>28.0478700707536</v>
      </c>
      <c r="F451" s="2">
        <v>5190.082583663878</v>
      </c>
      <c r="G451" s="2">
        <v>3.50625377541912</v>
      </c>
      <c r="H451" s="2">
        <v>0.01371493715320284</v>
      </c>
    </row>
    <row r="452" ht="14.25" customHeight="1">
      <c r="A452" s="2" t="s">
        <v>83</v>
      </c>
      <c r="B452" s="2" t="s">
        <v>84</v>
      </c>
      <c r="C452" s="2" t="s">
        <v>16</v>
      </c>
      <c r="D452" s="2">
        <v>35.7397566269436</v>
      </c>
      <c r="E452" s="2">
        <v>0.472964986494</v>
      </c>
      <c r="F452" s="2">
        <v>935.7465810400092</v>
      </c>
      <c r="G452" s="2">
        <v>4.709399918652198</v>
      </c>
      <c r="H452" s="2">
        <v>0.4204318055829854</v>
      </c>
    </row>
    <row r="453" ht="14.25" customHeight="1">
      <c r="A453" s="2" t="s">
        <v>83</v>
      </c>
      <c r="B453" s="2" t="s">
        <v>84</v>
      </c>
      <c r="C453" s="2" t="s">
        <v>17</v>
      </c>
      <c r="D453" s="2">
        <v>11.539840521</v>
      </c>
      <c r="E453" s="2">
        <v>0.02457047373</v>
      </c>
      <c r="F453" s="2">
        <v>245.8514846117</v>
      </c>
      <c r="G453" s="2">
        <v>0.240180766375</v>
      </c>
      <c r="H453" s="2">
        <v>3.395432953E-4</v>
      </c>
    </row>
    <row r="454" ht="14.25" customHeight="1">
      <c r="A454" s="2" t="s">
        <v>83</v>
      </c>
      <c r="B454" s="2" t="s">
        <v>219</v>
      </c>
      <c r="C454" s="2" t="s">
        <v>85</v>
      </c>
      <c r="D454" s="2">
        <v>0.0</v>
      </c>
      <c r="E454" s="2">
        <v>0.0</v>
      </c>
      <c r="F454" s="2">
        <v>0.0</v>
      </c>
      <c r="G454" s="2">
        <v>0.0</v>
      </c>
      <c r="H454" s="2">
        <v>0.0</v>
      </c>
    </row>
    <row r="455" ht="14.25" customHeight="1">
      <c r="A455" s="2" t="s">
        <v>83</v>
      </c>
      <c r="B455" s="2" t="s">
        <v>219</v>
      </c>
      <c r="C455" s="2" t="s">
        <v>85</v>
      </c>
      <c r="D455" s="2">
        <v>0.0</v>
      </c>
      <c r="E455" s="2">
        <v>0.0</v>
      </c>
      <c r="F455" s="2">
        <v>0.0</v>
      </c>
      <c r="G455" s="2">
        <v>0.0</v>
      </c>
      <c r="H455" s="2">
        <v>0.0</v>
      </c>
    </row>
    <row r="456" ht="14.25" customHeight="1">
      <c r="A456" s="2" t="s">
        <v>83</v>
      </c>
      <c r="B456" s="2" t="s">
        <v>219</v>
      </c>
      <c r="C456" s="2" t="s">
        <v>85</v>
      </c>
      <c r="D456" s="2">
        <v>0.0</v>
      </c>
      <c r="E456" s="2">
        <v>0.0</v>
      </c>
      <c r="F456" s="2">
        <v>0.0</v>
      </c>
      <c r="G456" s="2">
        <v>0.0</v>
      </c>
      <c r="H456" s="2">
        <v>0.0</v>
      </c>
    </row>
    <row r="457" ht="14.25" customHeight="1">
      <c r="A457" s="2" t="s">
        <v>83</v>
      </c>
      <c r="B457" s="2" t="s">
        <v>219</v>
      </c>
      <c r="C457" s="2" t="s">
        <v>85</v>
      </c>
      <c r="D457" s="2">
        <v>0.0</v>
      </c>
      <c r="E457" s="2">
        <v>0.0</v>
      </c>
      <c r="F457" s="2">
        <v>0.0</v>
      </c>
      <c r="G457" s="2">
        <v>0.0</v>
      </c>
      <c r="H457" s="2">
        <v>0.0</v>
      </c>
    </row>
    <row r="458" ht="14.25" customHeight="1">
      <c r="A458" s="2" t="s">
        <v>83</v>
      </c>
      <c r="B458" s="2" t="s">
        <v>219</v>
      </c>
      <c r="C458" s="2" t="s">
        <v>16</v>
      </c>
      <c r="D458" s="2">
        <v>0.0</v>
      </c>
      <c r="E458" s="2">
        <v>0.0</v>
      </c>
      <c r="F458" s="2">
        <v>0.0</v>
      </c>
      <c r="G458" s="2">
        <v>0.0</v>
      </c>
      <c r="H458" s="2">
        <v>0.0</v>
      </c>
    </row>
    <row r="459" ht="14.25" customHeight="1">
      <c r="A459" s="2" t="s">
        <v>83</v>
      </c>
      <c r="B459" s="2" t="s">
        <v>219</v>
      </c>
      <c r="C459" s="2" t="s">
        <v>17</v>
      </c>
      <c r="D459" s="2">
        <v>0.0</v>
      </c>
      <c r="E459" s="2">
        <v>0.0</v>
      </c>
      <c r="F459" s="2">
        <v>0.0</v>
      </c>
      <c r="G459" s="2">
        <v>0.0</v>
      </c>
      <c r="H459" s="2">
        <v>0.0</v>
      </c>
    </row>
    <row r="460" ht="14.25" customHeight="1">
      <c r="A460" s="2" t="s">
        <v>83</v>
      </c>
      <c r="B460" s="2" t="s">
        <v>84</v>
      </c>
      <c r="C460" s="2" t="s">
        <v>10</v>
      </c>
      <c r="D460" s="2">
        <v>1507.524202307132</v>
      </c>
      <c r="E460" s="2">
        <v>42.01967040753552</v>
      </c>
      <c r="F460" s="2">
        <v>22086.79805492025</v>
      </c>
      <c r="G460" s="2">
        <v>15.90638699897674</v>
      </c>
      <c r="H460" s="2">
        <v>0.4641963272218164</v>
      </c>
    </row>
    <row r="461" ht="14.25" customHeight="1">
      <c r="A461" s="2" t="s">
        <v>83</v>
      </c>
      <c r="B461" s="2" t="s">
        <v>18</v>
      </c>
      <c r="C461" s="2" t="s">
        <v>10</v>
      </c>
      <c r="D461" s="2">
        <v>0.0</v>
      </c>
      <c r="E461" s="2">
        <v>0.0</v>
      </c>
      <c r="F461" s="2">
        <v>0.0</v>
      </c>
      <c r="G461" s="2">
        <v>0.0</v>
      </c>
      <c r="H461" s="2">
        <v>0.0</v>
      </c>
    </row>
    <row r="462" ht="14.25" customHeight="1">
      <c r="A462" s="2" t="s">
        <v>86</v>
      </c>
      <c r="B462" s="2" t="s">
        <v>87</v>
      </c>
      <c r="C462" s="2" t="s">
        <v>88</v>
      </c>
      <c r="D462" s="2">
        <v>54.5742035676</v>
      </c>
      <c r="E462" s="2">
        <v>0.172077306</v>
      </c>
      <c r="F462" s="2">
        <v>1911.2709276512</v>
      </c>
      <c r="G462" s="2">
        <v>0.5147320268</v>
      </c>
      <c r="H462" s="2">
        <v>0.0011708635126</v>
      </c>
    </row>
    <row r="463" ht="14.25" customHeight="1">
      <c r="A463" s="2" t="s">
        <v>86</v>
      </c>
      <c r="B463" s="2" t="s">
        <v>87</v>
      </c>
      <c r="C463" s="2" t="s">
        <v>88</v>
      </c>
      <c r="D463" s="2">
        <v>39.0869295822</v>
      </c>
      <c r="E463" s="2">
        <v>0.123244557</v>
      </c>
      <c r="F463" s="2">
        <v>1368.8832319664</v>
      </c>
      <c r="G463" s="2">
        <v>0.3686594246</v>
      </c>
      <c r="H463" s="2">
        <v>8.385914347E-4</v>
      </c>
    </row>
    <row r="464" ht="14.25" customHeight="1">
      <c r="A464" s="2" t="s">
        <v>86</v>
      </c>
      <c r="B464" s="2" t="s">
        <v>87</v>
      </c>
      <c r="C464" s="2" t="s">
        <v>88</v>
      </c>
      <c r="D464" s="2">
        <v>95.5800111218</v>
      </c>
      <c r="E464" s="2">
        <v>0.348778923</v>
      </c>
      <c r="F464" s="2">
        <v>6166.8759943436</v>
      </c>
      <c r="G464" s="2">
        <v>2.3268181714</v>
      </c>
      <c r="H464" s="2">
        <v>0.0032629228503</v>
      </c>
    </row>
    <row r="465" ht="14.25" customHeight="1">
      <c r="A465" s="2" t="s">
        <v>86</v>
      </c>
      <c r="B465" s="2" t="s">
        <v>87</v>
      </c>
      <c r="C465" s="2" t="s">
        <v>88</v>
      </c>
      <c r="D465" s="2">
        <v>7.44348817092</v>
      </c>
      <c r="E465" s="2">
        <v>0.4416047458</v>
      </c>
      <c r="F465" s="2">
        <v>71.28071154324</v>
      </c>
      <c r="G465" s="2">
        <v>0.04903657411</v>
      </c>
      <c r="H465" s="2">
        <v>3.65007544895E-4</v>
      </c>
    </row>
    <row r="466" ht="14.25" customHeight="1">
      <c r="A466" s="2" t="s">
        <v>86</v>
      </c>
      <c r="B466" s="2" t="s">
        <v>87</v>
      </c>
      <c r="C466" s="2" t="s">
        <v>46</v>
      </c>
      <c r="D466" s="2">
        <v>92.2382838832</v>
      </c>
      <c r="E466" s="2">
        <v>1.1840678304</v>
      </c>
      <c r="F466" s="2">
        <v>13588.542155552</v>
      </c>
      <c r="G466" s="2">
        <v>3.6967077056</v>
      </c>
      <c r="H466" s="2">
        <v>0.01338066912</v>
      </c>
    </row>
    <row r="467" ht="14.25" customHeight="1">
      <c r="A467" s="2" t="s">
        <v>86</v>
      </c>
      <c r="B467" s="2" t="s">
        <v>87</v>
      </c>
      <c r="C467" s="2" t="s">
        <v>27</v>
      </c>
      <c r="D467" s="2">
        <v>38.97369590218272</v>
      </c>
      <c r="E467" s="2">
        <v>0.5159214941328</v>
      </c>
      <c r="F467" s="2">
        <v>1020.562112934988</v>
      </c>
      <c r="G467" s="2">
        <v>5.12820490804776</v>
      </c>
      <c r="H467" s="2">
        <v>0.4586527814026813</v>
      </c>
    </row>
    <row r="468" ht="14.25" customHeight="1">
      <c r="A468" s="2" t="s">
        <v>86</v>
      </c>
      <c r="B468" s="2" t="s">
        <v>87</v>
      </c>
      <c r="C468" s="2" t="s">
        <v>28</v>
      </c>
      <c r="D468" s="2">
        <v>4.4700356928</v>
      </c>
      <c r="E468" s="2">
        <v>0.03565671906</v>
      </c>
      <c r="F468" s="2">
        <v>516.120449847</v>
      </c>
      <c r="G468" s="2">
        <v>0.1089935124</v>
      </c>
      <c r="H468" s="2">
        <v>3.953968686E-4</v>
      </c>
    </row>
    <row r="469" ht="14.25" customHeight="1">
      <c r="A469" s="2" t="s">
        <v>86</v>
      </c>
      <c r="B469" s="2" t="s">
        <v>220</v>
      </c>
      <c r="C469" s="2" t="s">
        <v>88</v>
      </c>
      <c r="D469" s="2">
        <v>0.0</v>
      </c>
      <c r="E469" s="2">
        <v>0.0</v>
      </c>
      <c r="F469" s="2">
        <v>0.0</v>
      </c>
      <c r="G469" s="2">
        <v>0.0</v>
      </c>
      <c r="H469" s="2">
        <v>0.0</v>
      </c>
    </row>
    <row r="470" ht="14.25" customHeight="1">
      <c r="A470" s="2" t="s">
        <v>86</v>
      </c>
      <c r="B470" s="2" t="s">
        <v>220</v>
      </c>
      <c r="C470" s="2" t="s">
        <v>88</v>
      </c>
      <c r="D470" s="2">
        <v>0.0</v>
      </c>
      <c r="E470" s="2">
        <v>0.0</v>
      </c>
      <c r="F470" s="2">
        <v>0.0</v>
      </c>
      <c r="G470" s="2">
        <v>0.0</v>
      </c>
      <c r="H470" s="2">
        <v>0.0</v>
      </c>
    </row>
    <row r="471" ht="14.25" customHeight="1">
      <c r="A471" s="2" t="s">
        <v>86</v>
      </c>
      <c r="B471" s="2" t="s">
        <v>220</v>
      </c>
      <c r="C471" s="2" t="s">
        <v>88</v>
      </c>
      <c r="D471" s="2">
        <v>0.0</v>
      </c>
      <c r="E471" s="2">
        <v>0.0</v>
      </c>
      <c r="F471" s="2">
        <v>0.0</v>
      </c>
      <c r="G471" s="2">
        <v>0.0</v>
      </c>
      <c r="H471" s="2">
        <v>0.0</v>
      </c>
    </row>
    <row r="472" ht="14.25" customHeight="1">
      <c r="A472" s="2" t="s">
        <v>86</v>
      </c>
      <c r="B472" s="2" t="s">
        <v>220</v>
      </c>
      <c r="C472" s="2" t="s">
        <v>88</v>
      </c>
      <c r="D472" s="2">
        <v>0.0</v>
      </c>
      <c r="E472" s="2">
        <v>0.0</v>
      </c>
      <c r="F472" s="2">
        <v>0.0</v>
      </c>
      <c r="G472" s="2">
        <v>0.0</v>
      </c>
      <c r="H472" s="2">
        <v>0.0</v>
      </c>
    </row>
    <row r="473" ht="14.25" customHeight="1">
      <c r="A473" s="2" t="s">
        <v>86</v>
      </c>
      <c r="B473" s="2" t="s">
        <v>220</v>
      </c>
      <c r="C473" s="2" t="s">
        <v>46</v>
      </c>
      <c r="D473" s="2">
        <v>0.0</v>
      </c>
      <c r="E473" s="2">
        <v>0.0</v>
      </c>
      <c r="F473" s="2">
        <v>0.0</v>
      </c>
      <c r="G473" s="2">
        <v>0.0</v>
      </c>
      <c r="H473" s="2">
        <v>0.0</v>
      </c>
    </row>
    <row r="474" ht="14.25" customHeight="1">
      <c r="A474" s="2" t="s">
        <v>86</v>
      </c>
      <c r="B474" s="2" t="s">
        <v>220</v>
      </c>
      <c r="C474" s="2" t="s">
        <v>27</v>
      </c>
      <c r="D474" s="2">
        <v>0.0</v>
      </c>
      <c r="E474" s="2">
        <v>0.0</v>
      </c>
      <c r="F474" s="2">
        <v>0.0</v>
      </c>
      <c r="G474" s="2">
        <v>0.0</v>
      </c>
      <c r="H474" s="2">
        <v>0.0</v>
      </c>
    </row>
    <row r="475" ht="14.25" customHeight="1">
      <c r="A475" s="2" t="s">
        <v>86</v>
      </c>
      <c r="B475" s="2" t="s">
        <v>220</v>
      </c>
      <c r="C475" s="2" t="s">
        <v>28</v>
      </c>
      <c r="D475" s="2">
        <v>0.0</v>
      </c>
      <c r="E475" s="2">
        <v>0.0</v>
      </c>
      <c r="F475" s="2">
        <v>0.0</v>
      </c>
      <c r="G475" s="2">
        <v>0.0</v>
      </c>
      <c r="H475" s="2">
        <v>0.0</v>
      </c>
    </row>
    <row r="476" ht="14.25" customHeight="1">
      <c r="A476" s="2" t="s">
        <v>86</v>
      </c>
      <c r="B476" s="2" t="s">
        <v>87</v>
      </c>
      <c r="C476" s="2" t="s">
        <v>10</v>
      </c>
      <c r="D476" s="2">
        <v>332.3666479207027</v>
      </c>
      <c r="E476" s="2">
        <v>2.8213515753928</v>
      </c>
      <c r="F476" s="2">
        <v>24643.53558383843</v>
      </c>
      <c r="G476" s="2">
        <v>12.19315232295776</v>
      </c>
      <c r="H476" s="2">
        <v>0.4780662327337763</v>
      </c>
    </row>
    <row r="477" ht="14.25" customHeight="1">
      <c r="A477" s="2" t="s">
        <v>86</v>
      </c>
      <c r="B477" s="2" t="s">
        <v>89</v>
      </c>
      <c r="C477" s="2" t="s">
        <v>10</v>
      </c>
      <c r="D477" s="2">
        <v>0.0</v>
      </c>
      <c r="E477" s="2">
        <v>0.0</v>
      </c>
      <c r="F477" s="2">
        <v>0.0</v>
      </c>
      <c r="G477" s="2">
        <v>0.0</v>
      </c>
      <c r="H477" s="2">
        <v>0.0</v>
      </c>
    </row>
    <row r="478" ht="14.25" customHeight="1">
      <c r="A478" s="2" t="s">
        <v>86</v>
      </c>
      <c r="B478" s="2" t="s">
        <v>18</v>
      </c>
      <c r="C478" s="2" t="s">
        <v>10</v>
      </c>
      <c r="D478" s="2">
        <v>0.0</v>
      </c>
      <c r="E478" s="2">
        <v>0.0</v>
      </c>
      <c r="F478" s="2">
        <v>0.0</v>
      </c>
      <c r="G478" s="2">
        <v>0.0</v>
      </c>
      <c r="H478" s="2">
        <v>0.0</v>
      </c>
    </row>
    <row r="479" ht="14.25" customHeight="1">
      <c r="A479" s="2" t="s">
        <v>90</v>
      </c>
      <c r="B479" s="2" t="s">
        <v>87</v>
      </c>
      <c r="C479" s="2" t="s">
        <v>88</v>
      </c>
      <c r="D479" s="2">
        <v>48.7075420386</v>
      </c>
      <c r="E479" s="2">
        <v>0.156807339</v>
      </c>
      <c r="F479" s="2">
        <v>1826.9508895392</v>
      </c>
      <c r="G479" s="2">
        <v>0.5091598638</v>
      </c>
      <c r="H479" s="2">
        <v>0.0011441635191</v>
      </c>
    </row>
    <row r="480" ht="14.25" customHeight="1">
      <c r="A480" s="2" t="s">
        <v>90</v>
      </c>
      <c r="B480" s="2" t="s">
        <v>87</v>
      </c>
      <c r="C480" s="2" t="s">
        <v>88</v>
      </c>
      <c r="D480" s="2">
        <v>112.163199481</v>
      </c>
      <c r="E480" s="2">
        <v>0.420131815</v>
      </c>
      <c r="F480" s="2">
        <v>7763.425107982</v>
      </c>
      <c r="G480" s="2">
        <v>2.977597023</v>
      </c>
      <c r="H480" s="2">
        <v>0.0041339266985</v>
      </c>
    </row>
    <row r="481" ht="14.25" customHeight="1">
      <c r="A481" s="2" t="s">
        <v>90</v>
      </c>
      <c r="B481" s="2" t="s">
        <v>87</v>
      </c>
      <c r="C481" s="2" t="s">
        <v>46</v>
      </c>
      <c r="D481" s="2">
        <v>32.942244244</v>
      </c>
      <c r="E481" s="2">
        <v>0.422881368</v>
      </c>
      <c r="F481" s="2">
        <v>4853.05076984</v>
      </c>
      <c r="G481" s="2">
        <v>1.320252752</v>
      </c>
      <c r="H481" s="2">
        <v>0.0047788104</v>
      </c>
    </row>
    <row r="482" ht="14.25" customHeight="1">
      <c r="A482" s="2" t="s">
        <v>90</v>
      </c>
      <c r="B482" s="2" t="s">
        <v>87</v>
      </c>
      <c r="C482" s="2" t="s">
        <v>46</v>
      </c>
      <c r="D482" s="2">
        <v>37.648279136</v>
      </c>
      <c r="E482" s="2">
        <v>0.483292992</v>
      </c>
      <c r="F482" s="2">
        <v>5546.34373696</v>
      </c>
      <c r="G482" s="2">
        <v>1.508860288</v>
      </c>
      <c r="H482" s="2">
        <v>0.0054614976</v>
      </c>
    </row>
    <row r="483" ht="14.25" customHeight="1">
      <c r="A483" s="2" t="s">
        <v>90</v>
      </c>
      <c r="B483" s="2" t="s">
        <v>87</v>
      </c>
      <c r="C483" s="2" t="s">
        <v>27</v>
      </c>
      <c r="D483" s="2">
        <v>64.981375685352</v>
      </c>
      <c r="E483" s="2">
        <v>0.85993633908</v>
      </c>
      <c r="F483" s="2">
        <v>1701.357420072744</v>
      </c>
      <c r="G483" s="2">
        <v>8.547056014266</v>
      </c>
      <c r="H483" s="2">
        <v>0.764421464696337</v>
      </c>
    </row>
    <row r="484" ht="14.25" customHeight="1">
      <c r="A484" s="2" t="s">
        <v>90</v>
      </c>
      <c r="B484" s="2" t="s">
        <v>87</v>
      </c>
      <c r="C484" s="2" t="s">
        <v>28</v>
      </c>
      <c r="D484" s="2">
        <v>7.450059488</v>
      </c>
      <c r="E484" s="2">
        <v>0.0594278651</v>
      </c>
      <c r="F484" s="2">
        <v>860.200749745</v>
      </c>
      <c r="G484" s="2">
        <v>0.181655854</v>
      </c>
      <c r="H484" s="2">
        <v>6.58994781E-4</v>
      </c>
    </row>
    <row r="485" ht="14.25" customHeight="1">
      <c r="A485" s="2" t="s">
        <v>90</v>
      </c>
      <c r="B485" s="2" t="s">
        <v>220</v>
      </c>
      <c r="C485" s="2" t="s">
        <v>88</v>
      </c>
      <c r="D485" s="2">
        <v>0.0</v>
      </c>
      <c r="E485" s="2">
        <v>0.0</v>
      </c>
      <c r="F485" s="2">
        <v>0.0</v>
      </c>
      <c r="G485" s="2">
        <v>0.0</v>
      </c>
      <c r="H485" s="2">
        <v>0.0</v>
      </c>
    </row>
    <row r="486" ht="14.25" customHeight="1">
      <c r="A486" s="2" t="s">
        <v>90</v>
      </c>
      <c r="B486" s="2" t="s">
        <v>220</v>
      </c>
      <c r="C486" s="2" t="s">
        <v>88</v>
      </c>
      <c r="D486" s="2">
        <v>0.0</v>
      </c>
      <c r="E486" s="2">
        <v>0.0</v>
      </c>
      <c r="F486" s="2">
        <v>0.0</v>
      </c>
      <c r="G486" s="2">
        <v>0.0</v>
      </c>
      <c r="H486" s="2">
        <v>0.0</v>
      </c>
    </row>
    <row r="487" ht="14.25" customHeight="1">
      <c r="A487" s="2" t="s">
        <v>90</v>
      </c>
      <c r="B487" s="2" t="s">
        <v>220</v>
      </c>
      <c r="C487" s="2" t="s">
        <v>46</v>
      </c>
      <c r="D487" s="2">
        <v>0.0</v>
      </c>
      <c r="E487" s="2">
        <v>0.0</v>
      </c>
      <c r="F487" s="2">
        <v>0.0</v>
      </c>
      <c r="G487" s="2">
        <v>0.0</v>
      </c>
      <c r="H487" s="2">
        <v>0.0</v>
      </c>
    </row>
    <row r="488" ht="14.25" customHeight="1">
      <c r="A488" s="2" t="s">
        <v>90</v>
      </c>
      <c r="B488" s="2" t="s">
        <v>220</v>
      </c>
      <c r="C488" s="2" t="s">
        <v>46</v>
      </c>
      <c r="D488" s="2">
        <v>0.0</v>
      </c>
      <c r="E488" s="2">
        <v>0.0</v>
      </c>
      <c r="F488" s="2">
        <v>0.0</v>
      </c>
      <c r="G488" s="2">
        <v>0.0</v>
      </c>
      <c r="H488" s="2">
        <v>0.0</v>
      </c>
    </row>
    <row r="489" ht="14.25" customHeight="1">
      <c r="A489" s="2" t="s">
        <v>90</v>
      </c>
      <c r="B489" s="2" t="s">
        <v>220</v>
      </c>
      <c r="C489" s="2" t="s">
        <v>27</v>
      </c>
      <c r="D489" s="2">
        <v>0.0</v>
      </c>
      <c r="E489" s="2">
        <v>0.0</v>
      </c>
      <c r="F489" s="2">
        <v>0.0</v>
      </c>
      <c r="G489" s="2">
        <v>0.0</v>
      </c>
      <c r="H489" s="2">
        <v>0.0</v>
      </c>
    </row>
    <row r="490" ht="14.25" customHeight="1">
      <c r="A490" s="2" t="s">
        <v>90</v>
      </c>
      <c r="B490" s="2" t="s">
        <v>220</v>
      </c>
      <c r="C490" s="2" t="s">
        <v>28</v>
      </c>
      <c r="D490" s="2">
        <v>0.0</v>
      </c>
      <c r="E490" s="2">
        <v>0.0</v>
      </c>
      <c r="F490" s="2">
        <v>0.0</v>
      </c>
      <c r="G490" s="2">
        <v>0.0</v>
      </c>
      <c r="H490" s="2">
        <v>0.0</v>
      </c>
    </row>
    <row r="491" ht="14.25" customHeight="1">
      <c r="A491" s="2" t="s">
        <v>90</v>
      </c>
      <c r="B491" s="2" t="s">
        <v>87</v>
      </c>
      <c r="C491" s="2" t="s">
        <v>10</v>
      </c>
      <c r="D491" s="2">
        <v>303.892700072952</v>
      </c>
      <c r="E491" s="2">
        <v>2.40247771818</v>
      </c>
      <c r="F491" s="2">
        <v>22551.32867413895</v>
      </c>
      <c r="G491" s="2">
        <v>15.044581795066</v>
      </c>
      <c r="H491" s="2">
        <v>0.780598857694937</v>
      </c>
    </row>
    <row r="492" ht="14.25" customHeight="1">
      <c r="A492" s="2" t="s">
        <v>90</v>
      </c>
      <c r="B492" s="2" t="s">
        <v>89</v>
      </c>
      <c r="C492" s="2" t="s">
        <v>10</v>
      </c>
      <c r="D492" s="2">
        <v>0.0</v>
      </c>
      <c r="E492" s="2">
        <v>0.0</v>
      </c>
      <c r="F492" s="2">
        <v>0.0</v>
      </c>
      <c r="G492" s="2">
        <v>0.0</v>
      </c>
      <c r="H492" s="2">
        <v>0.0</v>
      </c>
    </row>
    <row r="493" ht="14.25" customHeight="1">
      <c r="A493" s="2" t="s">
        <v>90</v>
      </c>
      <c r="B493" s="2" t="s">
        <v>18</v>
      </c>
      <c r="C493" s="2" t="s">
        <v>10</v>
      </c>
      <c r="D493" s="2">
        <v>0.0</v>
      </c>
      <c r="E493" s="2">
        <v>0.0</v>
      </c>
      <c r="F493" s="2">
        <v>0.0</v>
      </c>
      <c r="G493" s="2">
        <v>0.0</v>
      </c>
      <c r="H493" s="2">
        <v>0.0</v>
      </c>
    </row>
    <row r="494" ht="14.25" customHeight="1">
      <c r="A494" s="2" t="s">
        <v>91</v>
      </c>
      <c r="B494" s="2" t="s">
        <v>21</v>
      </c>
      <c r="C494" s="2" t="s">
        <v>41</v>
      </c>
      <c r="D494" s="2">
        <v>0.0</v>
      </c>
      <c r="E494" s="2">
        <v>0.0</v>
      </c>
      <c r="F494" s="2">
        <v>0.0</v>
      </c>
      <c r="G494" s="2">
        <v>0.0</v>
      </c>
      <c r="H494" s="2">
        <v>0.0</v>
      </c>
    </row>
    <row r="495" ht="14.25" customHeight="1">
      <c r="A495" s="2" t="s">
        <v>91</v>
      </c>
      <c r="B495" s="2" t="s">
        <v>21</v>
      </c>
      <c r="C495" s="2" t="s">
        <v>42</v>
      </c>
      <c r="D495" s="2">
        <v>0.0</v>
      </c>
      <c r="E495" s="2">
        <v>0.0</v>
      </c>
      <c r="F495" s="2">
        <v>0.0</v>
      </c>
      <c r="G495" s="2">
        <v>0.0</v>
      </c>
      <c r="H495" s="2">
        <v>0.0</v>
      </c>
    </row>
    <row r="496" ht="14.25" customHeight="1">
      <c r="A496" s="2" t="s">
        <v>91</v>
      </c>
      <c r="B496" s="2" t="s">
        <v>21</v>
      </c>
      <c r="C496" s="2" t="s">
        <v>43</v>
      </c>
      <c r="D496" s="2">
        <v>0.0</v>
      </c>
      <c r="E496" s="2">
        <v>0.0</v>
      </c>
      <c r="F496" s="2">
        <v>0.0</v>
      </c>
      <c r="G496" s="2">
        <v>0.0</v>
      </c>
      <c r="H496" s="2">
        <v>0.0</v>
      </c>
    </row>
    <row r="497" ht="14.25" customHeight="1">
      <c r="A497" s="2" t="s">
        <v>91</v>
      </c>
      <c r="B497" s="2" t="s">
        <v>21</v>
      </c>
      <c r="C497" s="2" t="s">
        <v>59</v>
      </c>
      <c r="D497" s="2">
        <v>0.0</v>
      </c>
      <c r="E497" s="2">
        <v>0.0</v>
      </c>
      <c r="F497" s="2">
        <v>0.0</v>
      </c>
      <c r="G497" s="2">
        <v>0.0</v>
      </c>
      <c r="H497" s="2">
        <v>0.0</v>
      </c>
    </row>
    <row r="498" ht="14.25" customHeight="1">
      <c r="A498" s="2" t="s">
        <v>91</v>
      </c>
      <c r="B498" s="2" t="s">
        <v>212</v>
      </c>
      <c r="C498" s="2" t="s">
        <v>41</v>
      </c>
      <c r="D498" s="2">
        <v>0.0</v>
      </c>
      <c r="E498" s="2">
        <v>0.0</v>
      </c>
      <c r="F498" s="2">
        <v>0.0</v>
      </c>
      <c r="G498" s="2">
        <v>0.0</v>
      </c>
      <c r="H498" s="2">
        <v>0.0</v>
      </c>
    </row>
    <row r="499" ht="14.25" customHeight="1">
      <c r="A499" s="2" t="s">
        <v>91</v>
      </c>
      <c r="B499" s="2" t="s">
        <v>212</v>
      </c>
      <c r="C499" s="2" t="s">
        <v>42</v>
      </c>
      <c r="D499" s="2">
        <v>0.0</v>
      </c>
      <c r="E499" s="2">
        <v>0.0</v>
      </c>
      <c r="F499" s="2">
        <v>0.0</v>
      </c>
      <c r="G499" s="2">
        <v>0.0</v>
      </c>
      <c r="H499" s="2">
        <v>0.0</v>
      </c>
    </row>
    <row r="500" ht="14.25" customHeight="1">
      <c r="A500" s="2" t="s">
        <v>91</v>
      </c>
      <c r="B500" s="2" t="s">
        <v>212</v>
      </c>
      <c r="C500" s="2" t="s">
        <v>43</v>
      </c>
      <c r="D500" s="2">
        <v>0.0</v>
      </c>
      <c r="E500" s="2">
        <v>0.0</v>
      </c>
      <c r="F500" s="2">
        <v>0.0</v>
      </c>
      <c r="G500" s="2">
        <v>0.0</v>
      </c>
      <c r="H500" s="2">
        <v>0.0</v>
      </c>
    </row>
    <row r="501" ht="14.25" customHeight="1">
      <c r="A501" s="2" t="s">
        <v>91</v>
      </c>
      <c r="B501" s="2" t="s">
        <v>212</v>
      </c>
      <c r="C501" s="2" t="s">
        <v>59</v>
      </c>
      <c r="D501" s="2">
        <v>0.0</v>
      </c>
      <c r="E501" s="2">
        <v>0.0</v>
      </c>
      <c r="F501" s="2">
        <v>0.0</v>
      </c>
      <c r="G501" s="2">
        <v>0.0</v>
      </c>
      <c r="H501" s="2">
        <v>0.0</v>
      </c>
    </row>
    <row r="502" ht="14.25" customHeight="1">
      <c r="A502" s="2" t="s">
        <v>91</v>
      </c>
      <c r="B502" s="2" t="s">
        <v>21</v>
      </c>
      <c r="C502" s="2" t="s">
        <v>10</v>
      </c>
      <c r="D502" s="2">
        <v>0.0</v>
      </c>
      <c r="E502" s="2">
        <v>0.0</v>
      </c>
      <c r="F502" s="2">
        <v>0.0</v>
      </c>
      <c r="G502" s="2">
        <v>0.0</v>
      </c>
      <c r="H502" s="2">
        <v>0.0</v>
      </c>
    </row>
    <row r="503" ht="14.25" customHeight="1">
      <c r="A503" s="2" t="s">
        <v>91</v>
      </c>
      <c r="B503" s="2" t="s">
        <v>22</v>
      </c>
      <c r="C503" s="2" t="s">
        <v>60</v>
      </c>
      <c r="D503" s="2">
        <v>893.13958257408</v>
      </c>
      <c r="E503" s="2">
        <v>3.0010351392</v>
      </c>
      <c r="F503" s="2">
        <v>17841.07658290176</v>
      </c>
      <c r="G503" s="2">
        <v>11.24350251264</v>
      </c>
      <c r="H503" s="2">
        <v>0.02524254104448</v>
      </c>
    </row>
    <row r="504" ht="14.25" customHeight="1">
      <c r="A504" s="2" t="s">
        <v>91</v>
      </c>
      <c r="B504" s="2" t="s">
        <v>22</v>
      </c>
      <c r="C504" s="2" t="s">
        <v>60</v>
      </c>
      <c r="D504" s="2">
        <v>20.7656471208</v>
      </c>
      <c r="E504" s="2">
        <v>0.074531701</v>
      </c>
      <c r="F504" s="2">
        <v>838.5170890776</v>
      </c>
      <c r="G504" s="2">
        <v>0.2279723464</v>
      </c>
      <c r="H504" s="2">
        <v>5.168118848E-4</v>
      </c>
    </row>
    <row r="505" ht="14.25" customHeight="1">
      <c r="A505" s="2" t="s">
        <v>91</v>
      </c>
      <c r="B505" s="2" t="s">
        <v>22</v>
      </c>
      <c r="C505" s="2" t="s">
        <v>60</v>
      </c>
      <c r="D505" s="2">
        <v>3908.887631232</v>
      </c>
      <c r="E505" s="2">
        <v>175.01351768</v>
      </c>
      <c r="F505" s="2">
        <v>41685.379435904</v>
      </c>
      <c r="G505" s="2">
        <v>42.552119456</v>
      </c>
      <c r="H505" s="2">
        <v>0.249999542392</v>
      </c>
    </row>
    <row r="506" ht="14.25" customHeight="1">
      <c r="A506" s="2" t="s">
        <v>91</v>
      </c>
      <c r="B506" s="2" t="s">
        <v>22</v>
      </c>
      <c r="C506" s="2" t="s">
        <v>61</v>
      </c>
      <c r="D506" s="2">
        <v>113.5857037788</v>
      </c>
      <c r="E506" s="2">
        <v>0.978951837</v>
      </c>
      <c r="F506" s="2">
        <v>1724.5097653536</v>
      </c>
      <c r="G506" s="2">
        <v>0.9026391729</v>
      </c>
      <c r="H506" s="2">
        <v>0.00310689420405</v>
      </c>
    </row>
    <row r="507" ht="14.25" customHeight="1">
      <c r="A507" s="2" t="s">
        <v>91</v>
      </c>
      <c r="B507" s="2" t="s">
        <v>22</v>
      </c>
      <c r="C507" s="2" t="s">
        <v>61</v>
      </c>
      <c r="D507" s="2">
        <v>32126.7610712044</v>
      </c>
      <c r="E507" s="2">
        <v>45.802171063</v>
      </c>
      <c r="F507" s="2">
        <v>898242.2480037168</v>
      </c>
      <c r="G507" s="2">
        <v>284.8592872652</v>
      </c>
      <c r="H507" s="2">
        <v>5.3031272482064</v>
      </c>
    </row>
    <row r="508" ht="14.25" customHeight="1">
      <c r="A508" s="2" t="s">
        <v>91</v>
      </c>
      <c r="B508" s="2" t="s">
        <v>22</v>
      </c>
      <c r="C508" s="2" t="s">
        <v>61</v>
      </c>
      <c r="D508" s="2">
        <v>12683.0262973864</v>
      </c>
      <c r="E508" s="2">
        <v>18.065385964</v>
      </c>
      <c r="F508" s="2">
        <v>354758.3584318008</v>
      </c>
      <c r="G508" s="2">
        <v>112.5494035262</v>
      </c>
      <c r="H508" s="2">
        <v>2.0956765009259</v>
      </c>
    </row>
    <row r="509" ht="14.25" customHeight="1">
      <c r="A509" s="2" t="s">
        <v>91</v>
      </c>
      <c r="B509" s="2" t="s">
        <v>22</v>
      </c>
      <c r="C509" s="2" t="s">
        <v>62</v>
      </c>
      <c r="D509" s="2">
        <v>2543.119088992</v>
      </c>
      <c r="E509" s="2">
        <v>8.68033552</v>
      </c>
      <c r="F509" s="2">
        <v>51495.081930624</v>
      </c>
      <c r="G509" s="2">
        <v>33.023393936</v>
      </c>
      <c r="H509" s="2">
        <v>0.063966283452</v>
      </c>
    </row>
    <row r="510" ht="14.25" customHeight="1">
      <c r="A510" s="2" t="s">
        <v>91</v>
      </c>
      <c r="B510" s="2" t="s">
        <v>22</v>
      </c>
      <c r="C510" s="2" t="s">
        <v>62</v>
      </c>
      <c r="D510" s="2">
        <v>198.113751372</v>
      </c>
      <c r="E510" s="2">
        <v>0.516754212</v>
      </c>
      <c r="F510" s="2">
        <v>3644.631969084</v>
      </c>
      <c r="G510" s="2">
        <v>3.045416718</v>
      </c>
      <c r="H510" s="2">
        <v>0.0049228199445</v>
      </c>
    </row>
    <row r="511" ht="14.25" customHeight="1">
      <c r="A511" s="2" t="s">
        <v>91</v>
      </c>
      <c r="B511" s="2" t="s">
        <v>22</v>
      </c>
      <c r="C511" s="2" t="s">
        <v>92</v>
      </c>
      <c r="D511" s="2">
        <v>146.971433196</v>
      </c>
      <c r="E511" s="2">
        <v>0.309080728</v>
      </c>
      <c r="F511" s="2">
        <v>2281.046098742</v>
      </c>
      <c r="G511" s="2">
        <v>1.232637242</v>
      </c>
      <c r="H511" s="2">
        <v>0.016163518376</v>
      </c>
    </row>
    <row r="512" ht="14.25" customHeight="1">
      <c r="A512" s="2" t="s">
        <v>91</v>
      </c>
      <c r="B512" s="2" t="s">
        <v>22</v>
      </c>
      <c r="C512" s="2" t="s">
        <v>92</v>
      </c>
      <c r="D512" s="2">
        <v>70.2600405088</v>
      </c>
      <c r="E512" s="2">
        <v>0.024292033</v>
      </c>
      <c r="F512" s="2">
        <v>1409.1339510136</v>
      </c>
      <c r="G512" s="2">
        <v>0.7640580454</v>
      </c>
      <c r="H512" s="2">
        <v>0.0017138449778</v>
      </c>
    </row>
    <row r="513" ht="14.25" customHeight="1">
      <c r="A513" s="2" t="s">
        <v>91</v>
      </c>
      <c r="B513" s="2" t="s">
        <v>22</v>
      </c>
      <c r="C513" s="2" t="s">
        <v>63</v>
      </c>
      <c r="D513" s="2">
        <v>1991.4422303424</v>
      </c>
      <c r="E513" s="2">
        <v>4.2323990016</v>
      </c>
      <c r="F513" s="2">
        <v>48931.91250816</v>
      </c>
      <c r="G513" s="2">
        <v>27.7060747392</v>
      </c>
      <c r="H513" s="2">
        <v>0.1232616</v>
      </c>
    </row>
    <row r="514" ht="14.25" customHeight="1">
      <c r="A514" s="2" t="s">
        <v>91</v>
      </c>
      <c r="B514" s="2" t="s">
        <v>22</v>
      </c>
      <c r="C514" s="2" t="s">
        <v>64</v>
      </c>
      <c r="D514" s="2">
        <v>56.809857555</v>
      </c>
      <c r="E514" s="2">
        <v>0.0495</v>
      </c>
      <c r="F514" s="2">
        <v>66.6989810685</v>
      </c>
      <c r="G514" s="2">
        <v>0.066</v>
      </c>
      <c r="H514" s="2">
        <v>1.32E-4</v>
      </c>
    </row>
    <row r="515" ht="14.25" customHeight="1">
      <c r="A515" s="2" t="s">
        <v>91</v>
      </c>
      <c r="B515" s="2" t="s">
        <v>22</v>
      </c>
      <c r="C515" s="2" t="s">
        <v>65</v>
      </c>
      <c r="D515" s="2">
        <v>170.525652771</v>
      </c>
      <c r="E515" s="2">
        <v>0.6365191897</v>
      </c>
      <c r="F515" s="2">
        <v>5507.2771301308</v>
      </c>
      <c r="G515" s="2">
        <v>4.78927138504</v>
      </c>
      <c r="H515" s="2">
        <v>0.010961562162</v>
      </c>
    </row>
    <row r="516" ht="14.25" customHeight="1">
      <c r="A516" s="2" t="s">
        <v>91</v>
      </c>
      <c r="B516" s="2" t="s">
        <v>22</v>
      </c>
      <c r="C516" s="2" t="s">
        <v>66</v>
      </c>
      <c r="D516" s="2">
        <v>1363.2850573524</v>
      </c>
      <c r="E516" s="2">
        <v>18.0551360556</v>
      </c>
      <c r="F516" s="2">
        <v>35706.42614952</v>
      </c>
      <c r="G516" s="2">
        <v>179.4856650048</v>
      </c>
      <c r="H516" s="2">
        <v>16.0528422348</v>
      </c>
    </row>
    <row r="517" ht="14.25" customHeight="1">
      <c r="A517" s="2" t="s">
        <v>91</v>
      </c>
      <c r="B517" s="2" t="s">
        <v>22</v>
      </c>
      <c r="C517" s="2" t="s">
        <v>67</v>
      </c>
      <c r="D517" s="2">
        <v>378.06073368</v>
      </c>
      <c r="E517" s="2">
        <v>1.2446416311</v>
      </c>
      <c r="F517" s="2">
        <v>14728.254784005</v>
      </c>
      <c r="G517" s="2">
        <v>8.944742982</v>
      </c>
      <c r="H517" s="2">
        <v>0.020714559201</v>
      </c>
    </row>
    <row r="518" ht="14.25" customHeight="1">
      <c r="A518" s="2" t="s">
        <v>91</v>
      </c>
      <c r="B518" s="2" t="s">
        <v>22</v>
      </c>
      <c r="C518" s="2" t="s">
        <v>68</v>
      </c>
      <c r="D518" s="2">
        <v>3173.0488343424</v>
      </c>
      <c r="E518" s="2">
        <v>8.453904576</v>
      </c>
      <c r="F518" s="2">
        <v>52922.0289356928</v>
      </c>
      <c r="G518" s="2">
        <v>6.0192386592</v>
      </c>
      <c r="H518" s="2">
        <v>0.0204304670544</v>
      </c>
    </row>
    <row r="519" ht="14.25" customHeight="1">
      <c r="A519" s="2" t="s">
        <v>91</v>
      </c>
      <c r="B519" s="2" t="s">
        <v>214</v>
      </c>
      <c r="C519" s="2" t="s">
        <v>60</v>
      </c>
      <c r="D519" s="2">
        <v>0.0</v>
      </c>
      <c r="E519" s="2">
        <v>0.0</v>
      </c>
      <c r="F519" s="2">
        <v>0.0</v>
      </c>
      <c r="G519" s="2">
        <v>0.0</v>
      </c>
      <c r="H519" s="2">
        <v>0.0</v>
      </c>
    </row>
    <row r="520" ht="14.25" customHeight="1">
      <c r="A520" s="2" t="s">
        <v>91</v>
      </c>
      <c r="B520" s="2" t="s">
        <v>214</v>
      </c>
      <c r="C520" s="2" t="s">
        <v>60</v>
      </c>
      <c r="D520" s="2">
        <v>0.0</v>
      </c>
      <c r="E520" s="2">
        <v>0.0</v>
      </c>
      <c r="F520" s="2">
        <v>0.0</v>
      </c>
      <c r="G520" s="2">
        <v>0.0</v>
      </c>
      <c r="H520" s="2">
        <v>0.0</v>
      </c>
    </row>
    <row r="521" ht="14.25" customHeight="1">
      <c r="A521" s="2" t="s">
        <v>91</v>
      </c>
      <c r="B521" s="2" t="s">
        <v>214</v>
      </c>
      <c r="C521" s="2" t="s">
        <v>60</v>
      </c>
      <c r="D521" s="2">
        <v>0.0</v>
      </c>
      <c r="E521" s="2">
        <v>0.0</v>
      </c>
      <c r="F521" s="2">
        <v>0.0</v>
      </c>
      <c r="G521" s="2">
        <v>0.0</v>
      </c>
      <c r="H521" s="2">
        <v>0.0</v>
      </c>
    </row>
    <row r="522" ht="14.25" customHeight="1">
      <c r="A522" s="2" t="s">
        <v>91</v>
      </c>
      <c r="B522" s="2" t="s">
        <v>214</v>
      </c>
      <c r="C522" s="2" t="s">
        <v>61</v>
      </c>
      <c r="D522" s="2">
        <v>0.0</v>
      </c>
      <c r="E522" s="2">
        <v>0.0</v>
      </c>
      <c r="F522" s="2">
        <v>0.0</v>
      </c>
      <c r="G522" s="2">
        <v>0.0</v>
      </c>
      <c r="H522" s="2">
        <v>0.0</v>
      </c>
    </row>
    <row r="523" ht="14.25" customHeight="1">
      <c r="A523" s="2" t="s">
        <v>91</v>
      </c>
      <c r="B523" s="2" t="s">
        <v>214</v>
      </c>
      <c r="C523" s="2" t="s">
        <v>61</v>
      </c>
      <c r="D523" s="2">
        <v>0.0</v>
      </c>
      <c r="E523" s="2">
        <v>0.0</v>
      </c>
      <c r="F523" s="2">
        <v>0.0</v>
      </c>
      <c r="G523" s="2">
        <v>0.0</v>
      </c>
      <c r="H523" s="2">
        <v>0.0</v>
      </c>
    </row>
    <row r="524" ht="14.25" customHeight="1">
      <c r="A524" s="2" t="s">
        <v>91</v>
      </c>
      <c r="B524" s="2" t="s">
        <v>214</v>
      </c>
      <c r="C524" s="2" t="s">
        <v>61</v>
      </c>
      <c r="D524" s="2">
        <v>0.0</v>
      </c>
      <c r="E524" s="2">
        <v>0.0</v>
      </c>
      <c r="F524" s="2">
        <v>0.0</v>
      </c>
      <c r="G524" s="2">
        <v>0.0</v>
      </c>
      <c r="H524" s="2">
        <v>0.0</v>
      </c>
    </row>
    <row r="525" ht="14.25" customHeight="1">
      <c r="A525" s="2" t="s">
        <v>91</v>
      </c>
      <c r="B525" s="2" t="s">
        <v>214</v>
      </c>
      <c r="C525" s="2" t="s">
        <v>62</v>
      </c>
      <c r="D525" s="2">
        <v>0.0</v>
      </c>
      <c r="E525" s="2">
        <v>0.0</v>
      </c>
      <c r="F525" s="2">
        <v>0.0</v>
      </c>
      <c r="G525" s="2">
        <v>0.0</v>
      </c>
      <c r="H525" s="2">
        <v>0.0</v>
      </c>
    </row>
    <row r="526" ht="14.25" customHeight="1">
      <c r="A526" s="2" t="s">
        <v>91</v>
      </c>
      <c r="B526" s="2" t="s">
        <v>214</v>
      </c>
      <c r="C526" s="2" t="s">
        <v>62</v>
      </c>
      <c r="D526" s="2">
        <v>0.0</v>
      </c>
      <c r="E526" s="2">
        <v>0.0</v>
      </c>
      <c r="F526" s="2">
        <v>0.0</v>
      </c>
      <c r="G526" s="2">
        <v>0.0</v>
      </c>
      <c r="H526" s="2">
        <v>0.0</v>
      </c>
    </row>
    <row r="527" ht="14.25" customHeight="1">
      <c r="A527" s="2" t="s">
        <v>91</v>
      </c>
      <c r="B527" s="2" t="s">
        <v>214</v>
      </c>
      <c r="C527" s="2" t="s">
        <v>92</v>
      </c>
      <c r="D527" s="2">
        <v>0.0</v>
      </c>
      <c r="E527" s="2">
        <v>0.0</v>
      </c>
      <c r="F527" s="2">
        <v>0.0</v>
      </c>
      <c r="G527" s="2">
        <v>0.0</v>
      </c>
      <c r="H527" s="2">
        <v>0.0</v>
      </c>
    </row>
    <row r="528" ht="14.25" customHeight="1">
      <c r="A528" s="2" t="s">
        <v>91</v>
      </c>
      <c r="B528" s="2" t="s">
        <v>214</v>
      </c>
      <c r="C528" s="2" t="s">
        <v>92</v>
      </c>
      <c r="D528" s="2">
        <v>0.0</v>
      </c>
      <c r="E528" s="2">
        <v>0.0</v>
      </c>
      <c r="F528" s="2">
        <v>0.0</v>
      </c>
      <c r="G528" s="2">
        <v>0.0</v>
      </c>
      <c r="H528" s="2">
        <v>0.0</v>
      </c>
    </row>
    <row r="529" ht="14.25" customHeight="1">
      <c r="A529" s="2" t="s">
        <v>91</v>
      </c>
      <c r="B529" s="2" t="s">
        <v>214</v>
      </c>
      <c r="C529" s="2" t="s">
        <v>63</v>
      </c>
      <c r="D529" s="2">
        <v>0.0</v>
      </c>
      <c r="E529" s="2">
        <v>0.0</v>
      </c>
      <c r="F529" s="2">
        <v>0.0</v>
      </c>
      <c r="G529" s="2">
        <v>0.0</v>
      </c>
      <c r="H529" s="2">
        <v>0.0</v>
      </c>
    </row>
    <row r="530" ht="14.25" customHeight="1">
      <c r="A530" s="2" t="s">
        <v>91</v>
      </c>
      <c r="B530" s="2" t="s">
        <v>214</v>
      </c>
      <c r="C530" s="2" t="s">
        <v>64</v>
      </c>
      <c r="D530" s="2">
        <v>0.0</v>
      </c>
      <c r="E530" s="2">
        <v>0.0</v>
      </c>
      <c r="F530" s="2">
        <v>0.0</v>
      </c>
      <c r="G530" s="2">
        <v>0.0</v>
      </c>
      <c r="H530" s="2">
        <v>0.0</v>
      </c>
    </row>
    <row r="531" ht="14.25" customHeight="1">
      <c r="A531" s="2" t="s">
        <v>91</v>
      </c>
      <c r="B531" s="2" t="s">
        <v>214</v>
      </c>
      <c r="C531" s="2" t="s">
        <v>65</v>
      </c>
      <c r="D531" s="2">
        <v>0.0</v>
      </c>
      <c r="E531" s="2">
        <v>0.0</v>
      </c>
      <c r="F531" s="2">
        <v>0.0</v>
      </c>
      <c r="G531" s="2">
        <v>0.0</v>
      </c>
      <c r="H531" s="2">
        <v>0.0</v>
      </c>
    </row>
    <row r="532" ht="14.25" customHeight="1">
      <c r="A532" s="2" t="s">
        <v>91</v>
      </c>
      <c r="B532" s="2" t="s">
        <v>214</v>
      </c>
      <c r="C532" s="2" t="s">
        <v>66</v>
      </c>
      <c r="D532" s="2">
        <v>0.0</v>
      </c>
      <c r="E532" s="2">
        <v>0.0</v>
      </c>
      <c r="F532" s="2">
        <v>0.0</v>
      </c>
      <c r="G532" s="2">
        <v>0.0</v>
      </c>
      <c r="H532" s="2">
        <v>0.0</v>
      </c>
    </row>
    <row r="533" ht="14.25" customHeight="1">
      <c r="A533" s="2" t="s">
        <v>91</v>
      </c>
      <c r="B533" s="2" t="s">
        <v>214</v>
      </c>
      <c r="C533" s="2" t="s">
        <v>67</v>
      </c>
      <c r="D533" s="2">
        <v>0.0</v>
      </c>
      <c r="E533" s="2">
        <v>0.0</v>
      </c>
      <c r="F533" s="2">
        <v>0.0</v>
      </c>
      <c r="G533" s="2">
        <v>0.0</v>
      </c>
      <c r="H533" s="2">
        <v>0.0</v>
      </c>
    </row>
    <row r="534" ht="14.25" customHeight="1">
      <c r="A534" s="2" t="s">
        <v>91</v>
      </c>
      <c r="B534" s="2" t="s">
        <v>214</v>
      </c>
      <c r="C534" s="2" t="s">
        <v>68</v>
      </c>
      <c r="D534" s="2">
        <v>0.0</v>
      </c>
      <c r="E534" s="2">
        <v>0.0</v>
      </c>
      <c r="F534" s="2">
        <v>0.0</v>
      </c>
      <c r="G534" s="2">
        <v>0.0</v>
      </c>
      <c r="H534" s="2">
        <v>0.0</v>
      </c>
    </row>
    <row r="535" ht="14.25" customHeight="1">
      <c r="A535" s="2" t="s">
        <v>91</v>
      </c>
      <c r="B535" s="2" t="s">
        <v>22</v>
      </c>
      <c r="C535" s="2" t="s">
        <v>10</v>
      </c>
      <c r="D535" s="2">
        <v>59837.80261340848</v>
      </c>
      <c r="E535" s="2">
        <v>285.1381563312</v>
      </c>
      <c r="F535" s="2">
        <v>1531782.581746795</v>
      </c>
      <c r="G535" s="2">
        <v>717.41142299098</v>
      </c>
      <c r="H535" s="2">
        <v>23.99277842862533</v>
      </c>
    </row>
    <row r="536" ht="14.25" customHeight="1">
      <c r="A536" s="2" t="s">
        <v>91</v>
      </c>
      <c r="B536" s="2" t="s">
        <v>23</v>
      </c>
      <c r="C536" s="2" t="s">
        <v>10</v>
      </c>
      <c r="D536" s="2">
        <v>0.0</v>
      </c>
      <c r="E536" s="2">
        <v>0.0</v>
      </c>
      <c r="F536" s="2">
        <v>0.0</v>
      </c>
      <c r="G536" s="2">
        <v>0.0</v>
      </c>
      <c r="H536" s="2">
        <v>0.0</v>
      </c>
    </row>
    <row r="537" ht="14.25" customHeight="1">
      <c r="A537" s="2" t="s">
        <v>91</v>
      </c>
      <c r="B537" s="2" t="s">
        <v>29</v>
      </c>
      <c r="C537" s="2" t="s">
        <v>10</v>
      </c>
      <c r="D537" s="2">
        <v>0.0</v>
      </c>
      <c r="E537" s="2">
        <v>0.0</v>
      </c>
      <c r="F537" s="2">
        <v>0.0</v>
      </c>
      <c r="G537" s="2">
        <v>0.0</v>
      </c>
      <c r="H537" s="2">
        <v>0.0</v>
      </c>
    </row>
    <row r="538" ht="14.25" customHeight="1">
      <c r="A538" s="2" t="s">
        <v>91</v>
      </c>
      <c r="B538" s="2" t="s">
        <v>18</v>
      </c>
      <c r="C538" s="2" t="s">
        <v>10</v>
      </c>
      <c r="D538" s="2">
        <v>0.0</v>
      </c>
      <c r="E538" s="2">
        <v>0.0</v>
      </c>
      <c r="F538" s="2">
        <v>0.0</v>
      </c>
      <c r="G538" s="2">
        <v>0.0</v>
      </c>
      <c r="H538" s="2">
        <v>0.0</v>
      </c>
    </row>
    <row r="539" ht="14.25" customHeight="1">
      <c r="A539" s="2" t="s">
        <v>93</v>
      </c>
      <c r="B539" s="2" t="s">
        <v>21</v>
      </c>
      <c r="C539" s="2" t="s">
        <v>41</v>
      </c>
      <c r="D539" s="2">
        <v>4104.3320127936</v>
      </c>
      <c r="E539" s="2">
        <v>183.764193564</v>
      </c>
      <c r="F539" s="2">
        <v>43769.6484076992</v>
      </c>
      <c r="G539" s="2">
        <v>44.6797254288</v>
      </c>
      <c r="H539" s="2">
        <v>0.2624995195116</v>
      </c>
    </row>
    <row r="540" ht="14.25" customHeight="1">
      <c r="A540" s="2" t="s">
        <v>93</v>
      </c>
      <c r="B540" s="2" t="s">
        <v>21</v>
      </c>
      <c r="C540" s="2" t="s">
        <v>41</v>
      </c>
      <c r="D540" s="2">
        <v>213.077571993</v>
      </c>
      <c r="E540" s="2">
        <v>0.91915802</v>
      </c>
      <c r="F540" s="2">
        <v>17047.408730671</v>
      </c>
      <c r="G540" s="2">
        <v>6.54705945025</v>
      </c>
      <c r="H540" s="2">
        <v>0.009082236348625</v>
      </c>
    </row>
    <row r="541" ht="14.25" customHeight="1">
      <c r="A541" s="2" t="s">
        <v>93</v>
      </c>
      <c r="B541" s="2" t="s">
        <v>21</v>
      </c>
      <c r="C541" s="2" t="s">
        <v>41</v>
      </c>
      <c r="D541" s="2">
        <v>3815.1002019384</v>
      </c>
      <c r="E541" s="2">
        <v>10.330005432</v>
      </c>
      <c r="F541" s="2">
        <v>70575.0054495048</v>
      </c>
      <c r="G541" s="2">
        <v>55.7737396122</v>
      </c>
      <c r="H541" s="2">
        <v>0.1051398805929</v>
      </c>
    </row>
    <row r="542" ht="14.25" customHeight="1">
      <c r="A542" s="2" t="s">
        <v>93</v>
      </c>
      <c r="B542" s="2" t="s">
        <v>21</v>
      </c>
      <c r="C542" s="2" t="s">
        <v>41</v>
      </c>
      <c r="D542" s="2">
        <v>5892.78355567152</v>
      </c>
      <c r="E542" s="2">
        <v>1.3652850368</v>
      </c>
      <c r="F542" s="2">
        <v>133344.3606489614</v>
      </c>
      <c r="G542" s="2">
        <v>78.44962517316</v>
      </c>
      <c r="H542" s="2">
        <v>0.03395261144162</v>
      </c>
    </row>
    <row r="543" ht="14.25" customHeight="1">
      <c r="A543" s="2" t="s">
        <v>93</v>
      </c>
      <c r="B543" s="2" t="s">
        <v>21</v>
      </c>
      <c r="C543" s="2" t="s">
        <v>41</v>
      </c>
      <c r="D543" s="2">
        <v>0.0</v>
      </c>
      <c r="E543" s="2">
        <v>0.0</v>
      </c>
      <c r="F543" s="2">
        <v>0.0</v>
      </c>
      <c r="G543" s="2">
        <v>0.0</v>
      </c>
      <c r="H543" s="2">
        <v>0.0</v>
      </c>
    </row>
    <row r="544" ht="14.25" customHeight="1">
      <c r="A544" s="2" t="s">
        <v>93</v>
      </c>
      <c r="B544" s="2" t="s">
        <v>21</v>
      </c>
      <c r="C544" s="2" t="s">
        <v>42</v>
      </c>
      <c r="D544" s="2">
        <v>214.2702944904</v>
      </c>
      <c r="E544" s="2">
        <v>1.848383971</v>
      </c>
      <c r="F544" s="2">
        <v>3252.7293307988</v>
      </c>
      <c r="G544" s="2">
        <v>1.7044530382</v>
      </c>
      <c r="H544" s="2">
        <v>0.0058667720049</v>
      </c>
    </row>
    <row r="545" ht="14.25" customHeight="1">
      <c r="A545" s="2" t="s">
        <v>93</v>
      </c>
      <c r="B545" s="2" t="s">
        <v>21</v>
      </c>
      <c r="C545" s="2" t="s">
        <v>43</v>
      </c>
      <c r="D545" s="2">
        <v>744.1788390336</v>
      </c>
      <c r="E545" s="2">
        <v>1.941416456</v>
      </c>
      <c r="F545" s="2">
        <v>13680.5203215792</v>
      </c>
      <c r="G545" s="2">
        <v>11.3620155758</v>
      </c>
      <c r="H545" s="2">
        <v>0.0183857466016</v>
      </c>
    </row>
    <row r="546" ht="14.25" customHeight="1">
      <c r="A546" s="2" t="s">
        <v>93</v>
      </c>
      <c r="B546" s="2" t="s">
        <v>21</v>
      </c>
      <c r="C546" s="2" t="s">
        <v>43</v>
      </c>
      <c r="D546" s="2">
        <v>192.1119582928</v>
      </c>
      <c r="E546" s="2">
        <v>0.5010994</v>
      </c>
      <c r="F546" s="2">
        <v>3534.2161613616</v>
      </c>
      <c r="G546" s="2">
        <v>2.9531345004</v>
      </c>
      <c r="H546" s="2">
        <v>0.0047736542318</v>
      </c>
    </row>
    <row r="547" ht="14.25" customHeight="1">
      <c r="A547" s="2" t="s">
        <v>93</v>
      </c>
      <c r="B547" s="2" t="s">
        <v>21</v>
      </c>
      <c r="C547" s="2" t="s">
        <v>43</v>
      </c>
      <c r="D547" s="2">
        <v>451.2067618976</v>
      </c>
      <c r="E547" s="2">
        <v>1.768867706</v>
      </c>
      <c r="F547" s="2">
        <v>9839.4829621872</v>
      </c>
      <c r="G547" s="2">
        <v>5.6535288608</v>
      </c>
      <c r="H547" s="2">
        <v>0.0180530295856</v>
      </c>
    </row>
    <row r="548" ht="14.25" customHeight="1">
      <c r="A548" s="2" t="s">
        <v>93</v>
      </c>
      <c r="B548" s="2" t="s">
        <v>21</v>
      </c>
      <c r="C548" s="2" t="s">
        <v>57</v>
      </c>
      <c r="D548" s="2">
        <v>13.74100299</v>
      </c>
      <c r="E548" s="2">
        <v>0.0035426025</v>
      </c>
      <c r="F548" s="2">
        <v>219.3261751125</v>
      </c>
      <c r="G548" s="2">
        <v>0.34307517375</v>
      </c>
      <c r="H548" s="2">
        <v>0.0036804375</v>
      </c>
    </row>
    <row r="549" ht="14.25" customHeight="1">
      <c r="A549" s="2" t="s">
        <v>93</v>
      </c>
      <c r="B549" s="2" t="s">
        <v>21</v>
      </c>
      <c r="C549" s="2" t="s">
        <v>58</v>
      </c>
      <c r="D549" s="2">
        <v>3227.65404</v>
      </c>
      <c r="E549" s="2">
        <v>12.047828</v>
      </c>
      <c r="F549" s="2">
        <v>104239.948592</v>
      </c>
      <c r="G549" s="2">
        <v>90.6497696</v>
      </c>
      <c r="H549" s="2">
        <v>0.20747688</v>
      </c>
    </row>
    <row r="550" ht="14.25" customHeight="1">
      <c r="A550" s="2" t="s">
        <v>93</v>
      </c>
      <c r="B550" s="2" t="s">
        <v>21</v>
      </c>
      <c r="C550" s="2" t="s">
        <v>94</v>
      </c>
      <c r="D550" s="2">
        <v>186.185981892</v>
      </c>
      <c r="E550" s="2">
        <v>0.6949743244</v>
      </c>
      <c r="F550" s="2">
        <v>6013.0413422416</v>
      </c>
      <c r="G550" s="2">
        <v>5.22909709408</v>
      </c>
      <c r="H550" s="2">
        <v>0.011968224024</v>
      </c>
    </row>
    <row r="551" ht="14.25" customHeight="1">
      <c r="A551" s="2" t="s">
        <v>93</v>
      </c>
      <c r="B551" s="2" t="s">
        <v>21</v>
      </c>
      <c r="C551" s="2" t="s">
        <v>44</v>
      </c>
      <c r="D551" s="2">
        <v>1558.0400655456</v>
      </c>
      <c r="E551" s="2">
        <v>20.6344412064</v>
      </c>
      <c r="F551" s="2">
        <v>40807.34417088</v>
      </c>
      <c r="G551" s="2">
        <v>205.1264742912</v>
      </c>
      <c r="H551" s="2">
        <v>18.3461054112</v>
      </c>
    </row>
    <row r="552" ht="14.25" customHeight="1">
      <c r="A552" s="2" t="s">
        <v>93</v>
      </c>
      <c r="B552" s="2" t="s">
        <v>21</v>
      </c>
      <c r="C552" s="2" t="s">
        <v>45</v>
      </c>
      <c r="D552" s="2">
        <v>432.06940992</v>
      </c>
      <c r="E552" s="2">
        <v>1.4224475784</v>
      </c>
      <c r="F552" s="2">
        <v>16832.29118172</v>
      </c>
      <c r="G552" s="2">
        <v>10.222563408</v>
      </c>
      <c r="H552" s="2">
        <v>0.023673781944</v>
      </c>
    </row>
    <row r="553" ht="14.25" customHeight="1">
      <c r="A553" s="2" t="s">
        <v>93</v>
      </c>
      <c r="B553" s="2" t="s">
        <v>21</v>
      </c>
      <c r="C553" s="2" t="s">
        <v>59</v>
      </c>
      <c r="D553" s="2">
        <v>0.0</v>
      </c>
      <c r="E553" s="2">
        <v>0.0</v>
      </c>
      <c r="F553" s="2">
        <v>0.0</v>
      </c>
      <c r="G553" s="2">
        <v>0.0</v>
      </c>
      <c r="H553" s="2">
        <v>0.0</v>
      </c>
    </row>
    <row r="554" ht="14.25" customHeight="1">
      <c r="A554" s="2" t="s">
        <v>93</v>
      </c>
      <c r="B554" s="2" t="s">
        <v>212</v>
      </c>
      <c r="C554" s="2" t="s">
        <v>41</v>
      </c>
      <c r="D554" s="2">
        <v>0.0</v>
      </c>
      <c r="E554" s="2">
        <v>0.0</v>
      </c>
      <c r="F554" s="2">
        <v>0.0</v>
      </c>
      <c r="G554" s="2">
        <v>0.0</v>
      </c>
      <c r="H554" s="2">
        <v>0.0</v>
      </c>
    </row>
    <row r="555" ht="14.25" customHeight="1">
      <c r="A555" s="2" t="s">
        <v>93</v>
      </c>
      <c r="B555" s="2" t="s">
        <v>212</v>
      </c>
      <c r="C555" s="2" t="s">
        <v>41</v>
      </c>
      <c r="D555" s="2">
        <v>0.0</v>
      </c>
      <c r="E555" s="2">
        <v>0.0</v>
      </c>
      <c r="F555" s="2">
        <v>0.0</v>
      </c>
      <c r="G555" s="2">
        <v>0.0</v>
      </c>
      <c r="H555" s="2">
        <v>0.0</v>
      </c>
    </row>
    <row r="556" ht="14.25" customHeight="1">
      <c r="A556" s="2" t="s">
        <v>93</v>
      </c>
      <c r="B556" s="2" t="s">
        <v>212</v>
      </c>
      <c r="C556" s="2" t="s">
        <v>41</v>
      </c>
      <c r="D556" s="2">
        <v>0.0</v>
      </c>
      <c r="E556" s="2">
        <v>0.0</v>
      </c>
      <c r="F556" s="2">
        <v>0.0</v>
      </c>
      <c r="G556" s="2">
        <v>0.0</v>
      </c>
      <c r="H556" s="2">
        <v>0.0</v>
      </c>
    </row>
    <row r="557" ht="14.25" customHeight="1">
      <c r="A557" s="2" t="s">
        <v>93</v>
      </c>
      <c r="B557" s="2" t="s">
        <v>212</v>
      </c>
      <c r="C557" s="2" t="s">
        <v>41</v>
      </c>
      <c r="D557" s="2">
        <v>0.0</v>
      </c>
      <c r="E557" s="2">
        <v>0.0</v>
      </c>
      <c r="F557" s="2">
        <v>0.0</v>
      </c>
      <c r="G557" s="2">
        <v>0.0</v>
      </c>
      <c r="H557" s="2">
        <v>0.0</v>
      </c>
    </row>
    <row r="558" ht="14.25" customHeight="1">
      <c r="A558" s="2" t="s">
        <v>93</v>
      </c>
      <c r="B558" s="2" t="s">
        <v>212</v>
      </c>
      <c r="C558" s="2" t="s">
        <v>41</v>
      </c>
      <c r="D558" s="2">
        <v>0.0</v>
      </c>
      <c r="E558" s="2">
        <v>0.0</v>
      </c>
      <c r="F558" s="2">
        <v>0.0</v>
      </c>
      <c r="G558" s="2">
        <v>0.0</v>
      </c>
      <c r="H558" s="2">
        <v>0.0</v>
      </c>
    </row>
    <row r="559" ht="14.25" customHeight="1">
      <c r="A559" s="2" t="s">
        <v>93</v>
      </c>
      <c r="B559" s="2" t="s">
        <v>212</v>
      </c>
      <c r="C559" s="2" t="s">
        <v>42</v>
      </c>
      <c r="D559" s="2">
        <v>0.0</v>
      </c>
      <c r="E559" s="2">
        <v>0.0</v>
      </c>
      <c r="F559" s="2">
        <v>0.0</v>
      </c>
      <c r="G559" s="2">
        <v>0.0</v>
      </c>
      <c r="H559" s="2">
        <v>0.0</v>
      </c>
    </row>
    <row r="560" ht="14.25" customHeight="1">
      <c r="A560" s="2" t="s">
        <v>93</v>
      </c>
      <c r="B560" s="2" t="s">
        <v>212</v>
      </c>
      <c r="C560" s="2" t="s">
        <v>43</v>
      </c>
      <c r="D560" s="2">
        <v>0.0</v>
      </c>
      <c r="E560" s="2">
        <v>0.0</v>
      </c>
      <c r="F560" s="2">
        <v>0.0</v>
      </c>
      <c r="G560" s="2">
        <v>0.0</v>
      </c>
      <c r="H560" s="2">
        <v>0.0</v>
      </c>
    </row>
    <row r="561" ht="14.25" customHeight="1">
      <c r="A561" s="2" t="s">
        <v>93</v>
      </c>
      <c r="B561" s="2" t="s">
        <v>212</v>
      </c>
      <c r="C561" s="2" t="s">
        <v>43</v>
      </c>
      <c r="D561" s="2">
        <v>0.0</v>
      </c>
      <c r="E561" s="2">
        <v>0.0</v>
      </c>
      <c r="F561" s="2">
        <v>0.0</v>
      </c>
      <c r="G561" s="2">
        <v>0.0</v>
      </c>
      <c r="H561" s="2">
        <v>0.0</v>
      </c>
    </row>
    <row r="562" ht="14.25" customHeight="1">
      <c r="A562" s="2" t="s">
        <v>93</v>
      </c>
      <c r="B562" s="2" t="s">
        <v>212</v>
      </c>
      <c r="C562" s="2" t="s">
        <v>43</v>
      </c>
      <c r="D562" s="2">
        <v>0.0</v>
      </c>
      <c r="E562" s="2">
        <v>0.0</v>
      </c>
      <c r="F562" s="2">
        <v>0.0</v>
      </c>
      <c r="G562" s="2">
        <v>0.0</v>
      </c>
      <c r="H562" s="2">
        <v>0.0</v>
      </c>
    </row>
    <row r="563" ht="14.25" customHeight="1">
      <c r="A563" s="2" t="s">
        <v>93</v>
      </c>
      <c r="B563" s="2" t="s">
        <v>212</v>
      </c>
      <c r="C563" s="2" t="s">
        <v>57</v>
      </c>
      <c r="D563" s="2">
        <v>0.0</v>
      </c>
      <c r="E563" s="2">
        <v>0.0</v>
      </c>
      <c r="F563" s="2">
        <v>0.0</v>
      </c>
      <c r="G563" s="2">
        <v>0.0</v>
      </c>
      <c r="H563" s="2">
        <v>0.0</v>
      </c>
    </row>
    <row r="564" ht="14.25" customHeight="1">
      <c r="A564" s="2" t="s">
        <v>93</v>
      </c>
      <c r="B564" s="2" t="s">
        <v>212</v>
      </c>
      <c r="C564" s="2" t="s">
        <v>58</v>
      </c>
      <c r="D564" s="2">
        <v>0.0</v>
      </c>
      <c r="E564" s="2">
        <v>0.0</v>
      </c>
      <c r="F564" s="2">
        <v>0.0</v>
      </c>
      <c r="G564" s="2">
        <v>0.0</v>
      </c>
      <c r="H564" s="2">
        <v>0.0</v>
      </c>
    </row>
    <row r="565" ht="14.25" customHeight="1">
      <c r="A565" s="2" t="s">
        <v>93</v>
      </c>
      <c r="B565" s="2" t="s">
        <v>212</v>
      </c>
      <c r="C565" s="2" t="s">
        <v>94</v>
      </c>
      <c r="D565" s="2">
        <v>0.0</v>
      </c>
      <c r="E565" s="2">
        <v>0.0</v>
      </c>
      <c r="F565" s="2">
        <v>0.0</v>
      </c>
      <c r="G565" s="2">
        <v>0.0</v>
      </c>
      <c r="H565" s="2">
        <v>0.0</v>
      </c>
    </row>
    <row r="566" ht="14.25" customHeight="1">
      <c r="A566" s="2" t="s">
        <v>93</v>
      </c>
      <c r="B566" s="2" t="s">
        <v>212</v>
      </c>
      <c r="C566" s="2" t="s">
        <v>44</v>
      </c>
      <c r="D566" s="2">
        <v>0.0</v>
      </c>
      <c r="E566" s="2">
        <v>0.0</v>
      </c>
      <c r="F566" s="2">
        <v>0.0</v>
      </c>
      <c r="G566" s="2">
        <v>0.0</v>
      </c>
      <c r="H566" s="2">
        <v>0.0</v>
      </c>
    </row>
    <row r="567" ht="14.25" customHeight="1">
      <c r="A567" s="2" t="s">
        <v>93</v>
      </c>
      <c r="B567" s="2" t="s">
        <v>212</v>
      </c>
      <c r="C567" s="2" t="s">
        <v>45</v>
      </c>
      <c r="D567" s="2">
        <v>0.0</v>
      </c>
      <c r="E567" s="2">
        <v>0.0</v>
      </c>
      <c r="F567" s="2">
        <v>0.0</v>
      </c>
      <c r="G567" s="2">
        <v>0.0</v>
      </c>
      <c r="H567" s="2">
        <v>0.0</v>
      </c>
    </row>
    <row r="568" ht="14.25" customHeight="1">
      <c r="A568" s="2" t="s">
        <v>93</v>
      </c>
      <c r="B568" s="2" t="s">
        <v>212</v>
      </c>
      <c r="C568" s="2" t="s">
        <v>59</v>
      </c>
      <c r="D568" s="2">
        <v>0.0</v>
      </c>
      <c r="E568" s="2">
        <v>0.0</v>
      </c>
      <c r="F568" s="2">
        <v>0.0</v>
      </c>
      <c r="G568" s="2">
        <v>0.0</v>
      </c>
      <c r="H568" s="2">
        <v>0.0</v>
      </c>
    </row>
    <row r="569" ht="14.25" customHeight="1">
      <c r="A569" s="2" t="s">
        <v>93</v>
      </c>
      <c r="B569" s="2" t="s">
        <v>21</v>
      </c>
      <c r="C569" s="2" t="s">
        <v>10</v>
      </c>
      <c r="D569" s="2">
        <v>21044.75169645852</v>
      </c>
      <c r="E569" s="2">
        <v>237.2416432975</v>
      </c>
      <c r="F569" s="2">
        <v>463155.3234747173</v>
      </c>
      <c r="G569" s="2">
        <v>518.69426120664</v>
      </c>
      <c r="H569" s="2">
        <v>19.05065818498664</v>
      </c>
    </row>
    <row r="570" ht="14.25" customHeight="1">
      <c r="A570" s="2" t="s">
        <v>93</v>
      </c>
      <c r="B570" s="2" t="s">
        <v>22</v>
      </c>
      <c r="C570" s="2" t="s">
        <v>10</v>
      </c>
      <c r="D570" s="2">
        <v>0.0</v>
      </c>
      <c r="E570" s="2">
        <v>0.0</v>
      </c>
      <c r="F570" s="2">
        <v>0.0</v>
      </c>
      <c r="G570" s="2">
        <v>0.0</v>
      </c>
      <c r="H570" s="2">
        <v>0.0</v>
      </c>
    </row>
    <row r="571" ht="14.25" customHeight="1">
      <c r="A571" s="2" t="s">
        <v>95</v>
      </c>
      <c r="B571" s="2" t="s">
        <v>96</v>
      </c>
      <c r="C571" s="2" t="s">
        <v>97</v>
      </c>
      <c r="D571" s="2">
        <v>16000.066129445</v>
      </c>
      <c r="E571" s="2">
        <v>205.39371279</v>
      </c>
      <c r="F571" s="2">
        <v>2357129.4254227</v>
      </c>
      <c r="G571" s="2">
        <v>641.24748706</v>
      </c>
      <c r="H571" s="2">
        <v>2.321070837</v>
      </c>
    </row>
    <row r="572" ht="14.25" customHeight="1">
      <c r="A572" s="2" t="s">
        <v>95</v>
      </c>
      <c r="B572" s="2" t="s">
        <v>221</v>
      </c>
      <c r="C572" s="2" t="s">
        <v>97</v>
      </c>
      <c r="D572" s="2">
        <v>0.0</v>
      </c>
      <c r="E572" s="2">
        <v>0.0</v>
      </c>
      <c r="F572" s="2">
        <v>0.0</v>
      </c>
      <c r="G572" s="2">
        <v>0.0</v>
      </c>
      <c r="H572" s="2">
        <v>0.0</v>
      </c>
    </row>
    <row r="573" ht="14.25" customHeight="1">
      <c r="A573" s="2" t="s">
        <v>95</v>
      </c>
      <c r="B573" s="2" t="s">
        <v>96</v>
      </c>
      <c r="C573" s="2" t="s">
        <v>10</v>
      </c>
      <c r="D573" s="2">
        <v>16000.066129445</v>
      </c>
      <c r="E573" s="2">
        <v>205.39371279</v>
      </c>
      <c r="F573" s="2">
        <v>2357129.4254227</v>
      </c>
      <c r="G573" s="2">
        <v>641.24748706</v>
      </c>
      <c r="H573" s="2">
        <v>2.321070837</v>
      </c>
    </row>
    <row r="574" ht="14.25" customHeight="1">
      <c r="A574" s="2" t="s">
        <v>95</v>
      </c>
      <c r="B574" s="2" t="s">
        <v>98</v>
      </c>
      <c r="C574" s="2" t="s">
        <v>10</v>
      </c>
      <c r="D574" s="2">
        <v>0.0</v>
      </c>
      <c r="E574" s="2">
        <v>0.0</v>
      </c>
      <c r="F574" s="2">
        <v>0.0</v>
      </c>
      <c r="G574" s="2">
        <v>0.0</v>
      </c>
      <c r="H574" s="2">
        <v>0.0</v>
      </c>
    </row>
    <row r="575" ht="14.25" customHeight="1">
      <c r="A575" s="2" t="s">
        <v>99</v>
      </c>
      <c r="B575" s="2" t="s">
        <v>38</v>
      </c>
      <c r="C575" s="2" t="s">
        <v>39</v>
      </c>
      <c r="D575" s="2">
        <v>122.9580553371702</v>
      </c>
      <c r="E575" s="2">
        <v>4.3692537154644</v>
      </c>
      <c r="F575" s="2">
        <v>1812.628313074805</v>
      </c>
      <c r="G575" s="2">
        <v>0.99413159375578</v>
      </c>
      <c r="H575" s="2">
        <v>0.00545486433024921</v>
      </c>
    </row>
    <row r="576" ht="14.25" customHeight="1">
      <c r="A576" s="2" t="s">
        <v>99</v>
      </c>
      <c r="B576" s="2" t="s">
        <v>38</v>
      </c>
      <c r="C576" s="2" t="s">
        <v>39</v>
      </c>
      <c r="D576" s="2">
        <v>9.2121184068912</v>
      </c>
      <c r="E576" s="2">
        <v>0.0455371414777</v>
      </c>
      <c r="F576" s="2">
        <v>232.2378199031839</v>
      </c>
      <c r="G576" s="2">
        <v>0.1168884921889</v>
      </c>
      <c r="H576" s="2">
        <v>3.357249566402001E-4</v>
      </c>
    </row>
    <row r="577" ht="14.25" customHeight="1">
      <c r="A577" s="2" t="s">
        <v>99</v>
      </c>
      <c r="B577" s="2" t="s">
        <v>38</v>
      </c>
      <c r="C577" s="2" t="s">
        <v>16</v>
      </c>
      <c r="D577" s="2">
        <v>0.32648286895056</v>
      </c>
      <c r="E577" s="2">
        <v>0.0043038805824</v>
      </c>
      <c r="F577" s="2">
        <v>8.53307242418232</v>
      </c>
      <c r="G577" s="2">
        <v>0.0427604144062284</v>
      </c>
      <c r="H577" s="2">
        <v>0.00382211747089011</v>
      </c>
    </row>
    <row r="578" ht="14.25" customHeight="1">
      <c r="A578" s="2" t="s">
        <v>99</v>
      </c>
      <c r="B578" s="2" t="s">
        <v>38</v>
      </c>
      <c r="C578" s="2" t="s">
        <v>17</v>
      </c>
      <c r="D578" s="2">
        <v>0.0</v>
      </c>
      <c r="E578" s="2">
        <v>0.0</v>
      </c>
      <c r="F578" s="2">
        <v>0.0</v>
      </c>
      <c r="G578" s="2">
        <v>0.0</v>
      </c>
      <c r="H578" s="2">
        <v>0.0</v>
      </c>
    </row>
    <row r="579" ht="14.25" customHeight="1">
      <c r="A579" s="2" t="s">
        <v>99</v>
      </c>
      <c r="B579" s="2" t="s">
        <v>211</v>
      </c>
      <c r="C579" s="2" t="s">
        <v>39</v>
      </c>
      <c r="D579" s="2">
        <v>0.0</v>
      </c>
      <c r="E579" s="2">
        <v>0.0</v>
      </c>
      <c r="F579" s="2">
        <v>0.0</v>
      </c>
      <c r="G579" s="2">
        <v>0.0</v>
      </c>
      <c r="H579" s="2">
        <v>0.0</v>
      </c>
    </row>
    <row r="580" ht="14.25" customHeight="1">
      <c r="A580" s="2" t="s">
        <v>99</v>
      </c>
      <c r="B580" s="2" t="s">
        <v>211</v>
      </c>
      <c r="C580" s="2" t="s">
        <v>39</v>
      </c>
      <c r="D580" s="2">
        <v>0.0</v>
      </c>
      <c r="E580" s="2">
        <v>0.0</v>
      </c>
      <c r="F580" s="2">
        <v>0.0</v>
      </c>
      <c r="G580" s="2">
        <v>0.0</v>
      </c>
      <c r="H580" s="2">
        <v>0.0</v>
      </c>
    </row>
    <row r="581" ht="14.25" customHeight="1">
      <c r="A581" s="2" t="s">
        <v>99</v>
      </c>
      <c r="B581" s="2" t="s">
        <v>211</v>
      </c>
      <c r="C581" s="2" t="s">
        <v>16</v>
      </c>
      <c r="D581" s="2">
        <v>0.0</v>
      </c>
      <c r="E581" s="2">
        <v>0.0</v>
      </c>
      <c r="F581" s="2">
        <v>0.0</v>
      </c>
      <c r="G581" s="2">
        <v>0.0</v>
      </c>
      <c r="H581" s="2">
        <v>0.0</v>
      </c>
    </row>
    <row r="582" ht="14.25" customHeight="1">
      <c r="A582" s="2" t="s">
        <v>99</v>
      </c>
      <c r="B582" s="2" t="s">
        <v>211</v>
      </c>
      <c r="C582" s="2" t="s">
        <v>17</v>
      </c>
      <c r="D582" s="2">
        <v>0.0</v>
      </c>
      <c r="E582" s="2">
        <v>0.0</v>
      </c>
      <c r="F582" s="2">
        <v>0.0</v>
      </c>
      <c r="G582" s="2">
        <v>0.0</v>
      </c>
      <c r="H582" s="2">
        <v>0.0</v>
      </c>
    </row>
    <row r="583" ht="14.25" customHeight="1">
      <c r="A583" s="2" t="s">
        <v>99</v>
      </c>
      <c r="B583" s="2" t="s">
        <v>38</v>
      </c>
      <c r="C583" s="2" t="s">
        <v>10</v>
      </c>
      <c r="D583" s="2">
        <v>132.4966566130119</v>
      </c>
      <c r="E583" s="2">
        <v>4.4190947375245</v>
      </c>
      <c r="F583" s="2">
        <v>2053.399205402172</v>
      </c>
      <c r="G583" s="2">
        <v>1.153780500350908</v>
      </c>
      <c r="H583" s="2">
        <v>0.00961270675777952</v>
      </c>
    </row>
    <row r="584" ht="14.25" customHeight="1">
      <c r="A584" s="2" t="s">
        <v>99</v>
      </c>
      <c r="B584" s="2" t="s">
        <v>18</v>
      </c>
      <c r="C584" s="2" t="s">
        <v>10</v>
      </c>
      <c r="D584" s="2">
        <v>0.0</v>
      </c>
      <c r="E584" s="2">
        <v>0.0</v>
      </c>
      <c r="F584" s="2">
        <v>0.0</v>
      </c>
      <c r="G584" s="2">
        <v>0.0</v>
      </c>
      <c r="H584" s="2">
        <v>0.0</v>
      </c>
    </row>
    <row r="585" ht="14.25" customHeight="1">
      <c r="A585" s="2" t="s">
        <v>100</v>
      </c>
      <c r="B585" s="2" t="s">
        <v>38</v>
      </c>
      <c r="C585" s="2" t="s">
        <v>39</v>
      </c>
      <c r="D585" s="2">
        <v>0.8076462948148</v>
      </c>
      <c r="E585" s="2">
        <v>0.038546655119</v>
      </c>
      <c r="F585" s="2">
        <v>11.8426615360956</v>
      </c>
      <c r="G585" s="2">
        <v>0.0086690183629</v>
      </c>
      <c r="H585" s="2">
        <v>4.785840485755E-5</v>
      </c>
    </row>
    <row r="586" ht="14.25" customHeight="1">
      <c r="A586" s="2" t="s">
        <v>100</v>
      </c>
      <c r="B586" s="2" t="s">
        <v>38</v>
      </c>
      <c r="C586" s="2" t="s">
        <v>39</v>
      </c>
      <c r="D586" s="2">
        <v>0.327693693216</v>
      </c>
      <c r="E586" s="2">
        <v>0.0016161997476</v>
      </c>
      <c r="F586" s="2">
        <v>8.2475103353643</v>
      </c>
      <c r="G586" s="2">
        <v>0.0041406828324</v>
      </c>
      <c r="H586" s="2">
        <v>1.189437774E-5</v>
      </c>
    </row>
    <row r="587" ht="14.25" customHeight="1">
      <c r="A587" s="2" t="s">
        <v>100</v>
      </c>
      <c r="B587" s="2" t="s">
        <v>38</v>
      </c>
      <c r="C587" s="2" t="s">
        <v>39</v>
      </c>
      <c r="D587" s="2">
        <v>0.9716904055614888</v>
      </c>
      <c r="E587" s="2">
        <v>0.009401846715823243</v>
      </c>
      <c r="F587" s="2">
        <v>12.70655435197091</v>
      </c>
      <c r="G587" s="2">
        <v>0.006036358385031301</v>
      </c>
      <c r="H587" s="2">
        <v>2.401474245939924E-5</v>
      </c>
    </row>
    <row r="588" ht="14.25" customHeight="1">
      <c r="A588" s="2" t="s">
        <v>100</v>
      </c>
      <c r="B588" s="2" t="s">
        <v>38</v>
      </c>
      <c r="C588" s="2" t="s">
        <v>39</v>
      </c>
      <c r="D588" s="2">
        <v>0.901157656344</v>
      </c>
      <c r="E588" s="2">
        <v>0.0044445493059</v>
      </c>
      <c r="F588" s="2">
        <v>22.68065342225182</v>
      </c>
      <c r="G588" s="2">
        <v>0.0113868777891</v>
      </c>
      <c r="H588" s="2">
        <v>3.270953878500001E-5</v>
      </c>
    </row>
    <row r="589" ht="14.25" customHeight="1">
      <c r="A589" s="2" t="s">
        <v>100</v>
      </c>
      <c r="B589" s="2" t="s">
        <v>38</v>
      </c>
      <c r="C589" s="2" t="s">
        <v>39</v>
      </c>
      <c r="D589" s="2">
        <v>12.82631335341165</v>
      </c>
      <c r="E589" s="2">
        <v>0.1241043766488668</v>
      </c>
      <c r="F589" s="2">
        <v>167.726517446016</v>
      </c>
      <c r="G589" s="2">
        <v>0.07967993068241318</v>
      </c>
      <c r="H589" s="2">
        <v>3.1699460046407E-4</v>
      </c>
    </row>
    <row r="590" ht="14.25" customHeight="1">
      <c r="A590" s="2" t="s">
        <v>100</v>
      </c>
      <c r="B590" s="2" t="s">
        <v>38</v>
      </c>
      <c r="C590" s="2" t="s">
        <v>39</v>
      </c>
      <c r="D590" s="2">
        <v>256.526267068233</v>
      </c>
      <c r="E590" s="2">
        <v>2.482087532977336</v>
      </c>
      <c r="F590" s="2">
        <v>3354.530348920321</v>
      </c>
      <c r="G590" s="2">
        <v>1.593598613648264</v>
      </c>
      <c r="H590" s="2">
        <v>0.006339892009281399</v>
      </c>
    </row>
    <row r="591" ht="14.25" customHeight="1">
      <c r="A591" s="2" t="s">
        <v>100</v>
      </c>
      <c r="B591" s="2" t="s">
        <v>38</v>
      </c>
      <c r="C591" s="2" t="s">
        <v>39</v>
      </c>
      <c r="D591" s="2">
        <v>23.95739149752</v>
      </c>
      <c r="E591" s="2">
        <v>0.0150937618</v>
      </c>
      <c r="F591" s="2">
        <v>382.44849610344</v>
      </c>
      <c r="G591" s="2">
        <v>0.54751319766</v>
      </c>
      <c r="H591" s="2">
        <v>0.00490552436387</v>
      </c>
    </row>
    <row r="592" ht="14.25" customHeight="1">
      <c r="A592" s="2" t="s">
        <v>100</v>
      </c>
      <c r="B592" s="2" t="s">
        <v>38</v>
      </c>
      <c r="C592" s="2" t="s">
        <v>39</v>
      </c>
      <c r="D592" s="2">
        <v>64.11990664760478</v>
      </c>
      <c r="E592" s="2">
        <v>2.627589513179958</v>
      </c>
      <c r="F592" s="2">
        <v>1185.364437836625</v>
      </c>
      <c r="G592" s="2">
        <v>0.5329678803352127</v>
      </c>
      <c r="H592" s="2">
        <v>0.002366824205141453</v>
      </c>
    </row>
    <row r="593" ht="14.25" customHeight="1">
      <c r="A593" s="2" t="s">
        <v>100</v>
      </c>
      <c r="B593" s="2" t="s">
        <v>38</v>
      </c>
      <c r="C593" s="2" t="s">
        <v>39</v>
      </c>
      <c r="D593" s="2">
        <v>9.01157656344</v>
      </c>
      <c r="E593" s="2">
        <v>0.044445493059</v>
      </c>
      <c r="F593" s="2">
        <v>226.8065342225182</v>
      </c>
      <c r="G593" s="2">
        <v>0.113868777891</v>
      </c>
      <c r="H593" s="2">
        <v>3.270953878500001E-4</v>
      </c>
    </row>
    <row r="594" ht="14.25" customHeight="1">
      <c r="A594" s="2" t="s">
        <v>100</v>
      </c>
      <c r="B594" s="2" t="s">
        <v>38</v>
      </c>
      <c r="C594" s="2" t="s">
        <v>101</v>
      </c>
      <c r="D594" s="2">
        <v>95.749040056824</v>
      </c>
      <c r="E594" s="2">
        <v>1.13112346116</v>
      </c>
      <c r="F594" s="2">
        <v>1076.173501438728</v>
      </c>
      <c r="G594" s="2">
        <v>0.584401998642</v>
      </c>
      <c r="H594" s="2">
        <v>0.002341033186569</v>
      </c>
    </row>
    <row r="595" ht="14.25" customHeight="1">
      <c r="A595" s="2" t="s">
        <v>100</v>
      </c>
      <c r="B595" s="2" t="s">
        <v>38</v>
      </c>
      <c r="C595" s="2" t="s">
        <v>101</v>
      </c>
      <c r="D595" s="2">
        <v>2.5526032228752</v>
      </c>
      <c r="E595" s="2">
        <v>0.111815105468</v>
      </c>
      <c r="F595" s="2">
        <v>27.5748551701744</v>
      </c>
      <c r="G595" s="2">
        <v>0.0272596679036</v>
      </c>
      <c r="H595" s="2">
        <v>1.598778745762E-4</v>
      </c>
    </row>
    <row r="596" ht="14.25" customHeight="1">
      <c r="A596" s="2" t="s">
        <v>100</v>
      </c>
      <c r="B596" s="2" t="s">
        <v>38</v>
      </c>
      <c r="C596" s="2" t="s">
        <v>101</v>
      </c>
      <c r="D596" s="2">
        <v>22.79739048972</v>
      </c>
      <c r="E596" s="2">
        <v>0.2693151098</v>
      </c>
      <c r="F596" s="2">
        <v>256.23178605684</v>
      </c>
      <c r="G596" s="2">
        <v>0.13914333301</v>
      </c>
      <c r="H596" s="2">
        <v>5.57388853945E-4</v>
      </c>
    </row>
    <row r="597" ht="14.25" customHeight="1">
      <c r="A597" s="2" t="s">
        <v>100</v>
      </c>
      <c r="B597" s="2" t="s">
        <v>38</v>
      </c>
      <c r="C597" s="2" t="s">
        <v>16</v>
      </c>
      <c r="D597" s="2">
        <v>16.38718306848</v>
      </c>
      <c r="E597" s="2">
        <v>0.2153619846</v>
      </c>
      <c r="F597" s="2">
        <v>427.70503416186</v>
      </c>
      <c r="G597" s="2">
        <v>2.13814030577742</v>
      </c>
      <c r="H597" s="2">
        <v>0.1911062794408425</v>
      </c>
    </row>
    <row r="598" ht="14.25" customHeight="1">
      <c r="A598" s="2" t="s">
        <v>100</v>
      </c>
      <c r="B598" s="2" t="s">
        <v>38</v>
      </c>
      <c r="C598" s="2" t="s">
        <v>17</v>
      </c>
      <c r="D598" s="2">
        <v>5.177158695</v>
      </c>
      <c r="E598" s="2">
        <v>0.01258257315</v>
      </c>
      <c r="F598" s="2">
        <v>137.5306713275</v>
      </c>
      <c r="G598" s="2">
        <v>0.100788579625</v>
      </c>
      <c r="H598" s="2">
        <v>3.816250615E-4</v>
      </c>
    </row>
    <row r="599" ht="14.25" customHeight="1">
      <c r="A599" s="2" t="s">
        <v>100</v>
      </c>
      <c r="B599" s="2" t="s">
        <v>211</v>
      </c>
      <c r="C599" s="2" t="s">
        <v>39</v>
      </c>
      <c r="D599" s="2">
        <v>0.0</v>
      </c>
      <c r="E599" s="2">
        <v>0.0</v>
      </c>
      <c r="F599" s="2">
        <v>0.0</v>
      </c>
      <c r="G599" s="2">
        <v>0.0</v>
      </c>
      <c r="H599" s="2">
        <v>0.0</v>
      </c>
    </row>
    <row r="600" ht="14.25" customHeight="1">
      <c r="A600" s="2" t="s">
        <v>100</v>
      </c>
      <c r="B600" s="2" t="s">
        <v>211</v>
      </c>
      <c r="C600" s="2" t="s">
        <v>39</v>
      </c>
      <c r="D600" s="2">
        <v>0.0</v>
      </c>
      <c r="E600" s="2">
        <v>0.0</v>
      </c>
      <c r="F600" s="2">
        <v>0.0</v>
      </c>
      <c r="G600" s="2">
        <v>0.0</v>
      </c>
      <c r="H600" s="2">
        <v>0.0</v>
      </c>
    </row>
    <row r="601" ht="14.25" customHeight="1">
      <c r="A601" s="2" t="s">
        <v>100</v>
      </c>
      <c r="B601" s="2" t="s">
        <v>211</v>
      </c>
      <c r="C601" s="2" t="s">
        <v>39</v>
      </c>
      <c r="D601" s="2">
        <v>0.0</v>
      </c>
      <c r="E601" s="2">
        <v>0.0</v>
      </c>
      <c r="F601" s="2">
        <v>0.0</v>
      </c>
      <c r="G601" s="2">
        <v>0.0</v>
      </c>
      <c r="H601" s="2">
        <v>0.0</v>
      </c>
    </row>
    <row r="602" ht="14.25" customHeight="1">
      <c r="A602" s="2" t="s">
        <v>100</v>
      </c>
      <c r="B602" s="2" t="s">
        <v>211</v>
      </c>
      <c r="C602" s="2" t="s">
        <v>39</v>
      </c>
      <c r="D602" s="2">
        <v>0.0</v>
      </c>
      <c r="E602" s="2">
        <v>0.0</v>
      </c>
      <c r="F602" s="2">
        <v>0.0</v>
      </c>
      <c r="G602" s="2">
        <v>0.0</v>
      </c>
      <c r="H602" s="2">
        <v>0.0</v>
      </c>
    </row>
    <row r="603" ht="14.25" customHeight="1">
      <c r="A603" s="2" t="s">
        <v>100</v>
      </c>
      <c r="B603" s="2" t="s">
        <v>211</v>
      </c>
      <c r="C603" s="2" t="s">
        <v>39</v>
      </c>
      <c r="D603" s="2">
        <v>0.0</v>
      </c>
      <c r="E603" s="2">
        <v>0.0</v>
      </c>
      <c r="F603" s="2">
        <v>0.0</v>
      </c>
      <c r="G603" s="2">
        <v>0.0</v>
      </c>
      <c r="H603" s="2">
        <v>0.0</v>
      </c>
    </row>
    <row r="604" ht="14.25" customHeight="1">
      <c r="A604" s="2" t="s">
        <v>100</v>
      </c>
      <c r="B604" s="2" t="s">
        <v>211</v>
      </c>
      <c r="C604" s="2" t="s">
        <v>39</v>
      </c>
      <c r="D604" s="2">
        <v>0.0</v>
      </c>
      <c r="E604" s="2">
        <v>0.0</v>
      </c>
      <c r="F604" s="2">
        <v>0.0</v>
      </c>
      <c r="G604" s="2">
        <v>0.0</v>
      </c>
      <c r="H604" s="2">
        <v>0.0</v>
      </c>
    </row>
    <row r="605" ht="14.25" customHeight="1">
      <c r="A605" s="2" t="s">
        <v>100</v>
      </c>
      <c r="B605" s="2" t="s">
        <v>211</v>
      </c>
      <c r="C605" s="2" t="s">
        <v>39</v>
      </c>
      <c r="D605" s="2">
        <v>0.0</v>
      </c>
      <c r="E605" s="2">
        <v>0.0</v>
      </c>
      <c r="F605" s="2">
        <v>0.0</v>
      </c>
      <c r="G605" s="2">
        <v>0.0</v>
      </c>
      <c r="H605" s="2">
        <v>0.0</v>
      </c>
    </row>
    <row r="606" ht="14.25" customHeight="1">
      <c r="A606" s="2" t="s">
        <v>100</v>
      </c>
      <c r="B606" s="2" t="s">
        <v>211</v>
      </c>
      <c r="C606" s="2" t="s">
        <v>39</v>
      </c>
      <c r="D606" s="2">
        <v>0.0</v>
      </c>
      <c r="E606" s="2">
        <v>0.0</v>
      </c>
      <c r="F606" s="2">
        <v>0.0</v>
      </c>
      <c r="G606" s="2">
        <v>0.0</v>
      </c>
      <c r="H606" s="2">
        <v>0.0</v>
      </c>
    </row>
    <row r="607" ht="14.25" customHeight="1">
      <c r="A607" s="2" t="s">
        <v>100</v>
      </c>
      <c r="B607" s="2" t="s">
        <v>211</v>
      </c>
      <c r="C607" s="2" t="s">
        <v>39</v>
      </c>
      <c r="D607" s="2">
        <v>0.0</v>
      </c>
      <c r="E607" s="2">
        <v>0.0</v>
      </c>
      <c r="F607" s="2">
        <v>0.0</v>
      </c>
      <c r="G607" s="2">
        <v>0.0</v>
      </c>
      <c r="H607" s="2">
        <v>0.0</v>
      </c>
    </row>
    <row r="608" ht="14.25" customHeight="1">
      <c r="A608" s="2" t="s">
        <v>100</v>
      </c>
      <c r="B608" s="2" t="s">
        <v>211</v>
      </c>
      <c r="C608" s="2" t="s">
        <v>101</v>
      </c>
      <c r="D608" s="2">
        <v>0.0</v>
      </c>
      <c r="E608" s="2">
        <v>0.0</v>
      </c>
      <c r="F608" s="2">
        <v>0.0</v>
      </c>
      <c r="G608" s="2">
        <v>0.0</v>
      </c>
      <c r="H608" s="2">
        <v>0.0</v>
      </c>
    </row>
    <row r="609" ht="14.25" customHeight="1">
      <c r="A609" s="2" t="s">
        <v>100</v>
      </c>
      <c r="B609" s="2" t="s">
        <v>211</v>
      </c>
      <c r="C609" s="2" t="s">
        <v>101</v>
      </c>
      <c r="D609" s="2">
        <v>0.0</v>
      </c>
      <c r="E609" s="2">
        <v>0.0</v>
      </c>
      <c r="F609" s="2">
        <v>0.0</v>
      </c>
      <c r="G609" s="2">
        <v>0.0</v>
      </c>
      <c r="H609" s="2">
        <v>0.0</v>
      </c>
    </row>
    <row r="610" ht="14.25" customHeight="1">
      <c r="A610" s="2" t="s">
        <v>100</v>
      </c>
      <c r="B610" s="2" t="s">
        <v>211</v>
      </c>
      <c r="C610" s="2" t="s">
        <v>101</v>
      </c>
      <c r="D610" s="2">
        <v>0.0</v>
      </c>
      <c r="E610" s="2">
        <v>0.0</v>
      </c>
      <c r="F610" s="2">
        <v>0.0</v>
      </c>
      <c r="G610" s="2">
        <v>0.0</v>
      </c>
      <c r="H610" s="2">
        <v>0.0</v>
      </c>
    </row>
    <row r="611" ht="14.25" customHeight="1">
      <c r="A611" s="2" t="s">
        <v>100</v>
      </c>
      <c r="B611" s="2" t="s">
        <v>211</v>
      </c>
      <c r="C611" s="2" t="s">
        <v>16</v>
      </c>
      <c r="D611" s="2">
        <v>0.0</v>
      </c>
      <c r="E611" s="2">
        <v>0.0</v>
      </c>
      <c r="F611" s="2">
        <v>0.0</v>
      </c>
      <c r="G611" s="2">
        <v>0.0</v>
      </c>
      <c r="H611" s="2">
        <v>0.0</v>
      </c>
    </row>
    <row r="612" ht="14.25" customHeight="1">
      <c r="A612" s="2" t="s">
        <v>100</v>
      </c>
      <c r="B612" s="2" t="s">
        <v>211</v>
      </c>
      <c r="C612" s="2" t="s">
        <v>17</v>
      </c>
      <c r="D612" s="2">
        <v>0.0</v>
      </c>
      <c r="E612" s="2">
        <v>0.0</v>
      </c>
      <c r="F612" s="2">
        <v>0.0</v>
      </c>
      <c r="G612" s="2">
        <v>0.0</v>
      </c>
      <c r="H612" s="2">
        <v>0.0</v>
      </c>
    </row>
    <row r="613" ht="14.25" customHeight="1">
      <c r="A613" s="2" t="s">
        <v>100</v>
      </c>
      <c r="B613" s="2" t="s">
        <v>38</v>
      </c>
      <c r="C613" s="2" t="s">
        <v>10</v>
      </c>
      <c r="D613" s="2">
        <v>512.113018713045</v>
      </c>
      <c r="E613" s="2">
        <v>7.087528162731484</v>
      </c>
      <c r="F613" s="2">
        <v>7297.569562329705</v>
      </c>
      <c r="G613" s="2">
        <v>5.88759522254434</v>
      </c>
      <c r="H613" s="2">
        <v>0.2089190120478816</v>
      </c>
    </row>
    <row r="614" ht="14.25" customHeight="1">
      <c r="A614" s="2" t="s">
        <v>100</v>
      </c>
      <c r="B614" s="2" t="s">
        <v>18</v>
      </c>
      <c r="C614" s="2" t="s">
        <v>82</v>
      </c>
      <c r="D614" s="2">
        <v>0.0</v>
      </c>
      <c r="E614" s="2">
        <v>0.0</v>
      </c>
      <c r="F614" s="2">
        <v>0.0</v>
      </c>
      <c r="G614" s="2">
        <v>0.0</v>
      </c>
      <c r="H614" s="2">
        <v>0.0</v>
      </c>
    </row>
    <row r="615" ht="14.25" customHeight="1">
      <c r="A615" s="2" t="s">
        <v>100</v>
      </c>
      <c r="B615" s="2" t="s">
        <v>218</v>
      </c>
      <c r="C615" s="2" t="s">
        <v>82</v>
      </c>
      <c r="D615" s="2">
        <v>0.0</v>
      </c>
      <c r="E615" s="2">
        <v>0.0</v>
      </c>
      <c r="F615" s="2">
        <v>0.0</v>
      </c>
      <c r="G615" s="2">
        <v>0.0</v>
      </c>
      <c r="H615" s="2">
        <v>0.0</v>
      </c>
    </row>
    <row r="616" ht="14.25" customHeight="1">
      <c r="A616" s="2" t="s">
        <v>100</v>
      </c>
      <c r="B616" s="2" t="s">
        <v>18</v>
      </c>
      <c r="C616" s="2" t="s">
        <v>10</v>
      </c>
      <c r="D616" s="2">
        <v>0.0</v>
      </c>
      <c r="E616" s="2">
        <v>0.0</v>
      </c>
      <c r="F616" s="2">
        <v>0.0</v>
      </c>
      <c r="G616" s="2">
        <v>0.0</v>
      </c>
      <c r="H616" s="2">
        <v>0.0</v>
      </c>
    </row>
    <row r="617" ht="14.25" customHeight="1">
      <c r="A617" s="2" t="s">
        <v>102</v>
      </c>
      <c r="B617" s="2" t="s">
        <v>103</v>
      </c>
      <c r="C617" s="2" t="s">
        <v>104</v>
      </c>
      <c r="D617" s="2">
        <v>871.256563430895</v>
      </c>
      <c r="E617" s="2">
        <v>28.66560302406269</v>
      </c>
      <c r="F617" s="2">
        <v>13269.23874079922</v>
      </c>
      <c r="G617" s="2">
        <v>7.275772934149301</v>
      </c>
      <c r="H617" s="2">
        <v>0.03864656218030273</v>
      </c>
    </row>
    <row r="618" ht="14.25" customHeight="1">
      <c r="A618" s="2" t="s">
        <v>102</v>
      </c>
      <c r="B618" s="2" t="s">
        <v>103</v>
      </c>
      <c r="C618" s="2" t="s">
        <v>104</v>
      </c>
      <c r="D618" s="2">
        <v>586.9885999467092</v>
      </c>
      <c r="E618" s="2">
        <v>24.05438763429289</v>
      </c>
      <c r="F618" s="2">
        <v>10851.4726263771</v>
      </c>
      <c r="G618" s="2">
        <v>4.879078686341447</v>
      </c>
      <c r="H618" s="2">
        <v>0.02166719976888585</v>
      </c>
    </row>
    <row r="619" ht="14.25" customHeight="1">
      <c r="A619" s="2" t="s">
        <v>102</v>
      </c>
      <c r="B619" s="2" t="s">
        <v>103</v>
      </c>
      <c r="C619" s="2" t="s">
        <v>104</v>
      </c>
      <c r="D619" s="2">
        <v>87.535177800324</v>
      </c>
      <c r="E619" s="2">
        <v>0.43172735757765</v>
      </c>
      <c r="F619" s="2">
        <v>2203.116198334189</v>
      </c>
      <c r="G619" s="2">
        <v>1.10607990160485</v>
      </c>
      <c r="H619" s="2">
        <v>0.003177285653797501</v>
      </c>
    </row>
    <row r="620" ht="14.25" customHeight="1">
      <c r="A620" s="2" t="s">
        <v>102</v>
      </c>
      <c r="B620" s="2" t="s">
        <v>103</v>
      </c>
      <c r="C620" s="2" t="s">
        <v>104</v>
      </c>
      <c r="D620" s="2">
        <v>64.90891909150744</v>
      </c>
      <c r="E620" s="2">
        <v>0.6280433606169926</v>
      </c>
      <c r="F620" s="2">
        <v>848.797830711657</v>
      </c>
      <c r="G620" s="2">
        <v>0.403228740120091</v>
      </c>
      <c r="H620" s="2">
        <v>0.001604184796287869</v>
      </c>
    </row>
    <row r="621" ht="14.25" customHeight="1">
      <c r="A621" s="2" t="s">
        <v>102</v>
      </c>
      <c r="B621" s="2" t="s">
        <v>103</v>
      </c>
      <c r="C621" s="2" t="s">
        <v>104</v>
      </c>
      <c r="D621" s="2">
        <v>501.831094376</v>
      </c>
      <c r="E621" s="2">
        <v>46.347356305</v>
      </c>
      <c r="F621" s="2">
        <v>8576.05241748</v>
      </c>
      <c r="G621" s="2">
        <v>5.79384297698</v>
      </c>
      <c r="H621" s="2">
        <v>0.02266300372</v>
      </c>
    </row>
    <row r="622" ht="14.25" customHeight="1">
      <c r="A622" s="2" t="s">
        <v>102</v>
      </c>
      <c r="B622" s="2" t="s">
        <v>103</v>
      </c>
      <c r="C622" s="2" t="s">
        <v>104</v>
      </c>
      <c r="D622" s="2">
        <v>47.35745342825665</v>
      </c>
      <c r="E622" s="2">
        <v>0.4586474961721742</v>
      </c>
      <c r="F622" s="2">
        <v>619.0618176124125</v>
      </c>
      <c r="G622" s="2">
        <v>0.2944585000875276</v>
      </c>
      <c r="H622" s="2">
        <v>0.001171526421279683</v>
      </c>
    </row>
    <row r="623" ht="14.25" customHeight="1">
      <c r="A623" s="2" t="s">
        <v>102</v>
      </c>
      <c r="B623" s="2" t="s">
        <v>103</v>
      </c>
      <c r="C623" s="2" t="s">
        <v>104</v>
      </c>
      <c r="D623" s="2">
        <v>144.1890101259482</v>
      </c>
      <c r="E623" s="2">
        <v>5.923028256231179</v>
      </c>
      <c r="F623" s="2">
        <v>2666.249662154854</v>
      </c>
      <c r="G623" s="2">
        <v>1.200894188324479</v>
      </c>
      <c r="H623" s="2">
        <v>0.005333716032181822</v>
      </c>
    </row>
    <row r="624" ht="14.25" customHeight="1">
      <c r="A624" s="2" t="s">
        <v>102</v>
      </c>
      <c r="B624" s="2" t="s">
        <v>103</v>
      </c>
      <c r="C624" s="2" t="s">
        <v>16</v>
      </c>
      <c r="D624" s="2">
        <v>32.4591680322</v>
      </c>
      <c r="E624" s="2">
        <v>0.4298841918</v>
      </c>
      <c r="F624" s="2">
        <v>850.15300356</v>
      </c>
      <c r="G624" s="2">
        <v>4.27568268422484</v>
      </c>
      <c r="H624" s="2">
        <v>0.3822105294</v>
      </c>
    </row>
    <row r="625" ht="14.25" customHeight="1">
      <c r="A625" s="2" t="s">
        <v>102</v>
      </c>
      <c r="B625" s="2" t="s">
        <v>103</v>
      </c>
      <c r="C625" s="2" t="s">
        <v>17</v>
      </c>
      <c r="D625" s="2">
        <v>10.35431739</v>
      </c>
      <c r="E625" s="2">
        <v>0.0251651463</v>
      </c>
      <c r="F625" s="2">
        <v>275.061342655</v>
      </c>
      <c r="G625" s="2">
        <v>0.20157715925</v>
      </c>
      <c r="H625" s="2">
        <v>7.63250123E-4</v>
      </c>
    </row>
    <row r="626" ht="14.25" customHeight="1">
      <c r="A626" s="2" t="s">
        <v>102</v>
      </c>
      <c r="B626" s="2" t="s">
        <v>222</v>
      </c>
      <c r="C626" s="2" t="s">
        <v>104</v>
      </c>
      <c r="D626" s="2">
        <v>0.0</v>
      </c>
      <c r="E626" s="2">
        <v>0.0</v>
      </c>
      <c r="F626" s="2">
        <v>0.0</v>
      </c>
      <c r="G626" s="2">
        <v>0.0</v>
      </c>
      <c r="H626" s="2">
        <v>0.0</v>
      </c>
    </row>
    <row r="627" ht="14.25" customHeight="1">
      <c r="A627" s="2" t="s">
        <v>102</v>
      </c>
      <c r="B627" s="2" t="s">
        <v>222</v>
      </c>
      <c r="C627" s="2" t="s">
        <v>104</v>
      </c>
      <c r="D627" s="2">
        <v>0.0</v>
      </c>
      <c r="E627" s="2">
        <v>0.0</v>
      </c>
      <c r="F627" s="2">
        <v>0.0</v>
      </c>
      <c r="G627" s="2">
        <v>0.0</v>
      </c>
      <c r="H627" s="2">
        <v>0.0</v>
      </c>
    </row>
    <row r="628" ht="14.25" customHeight="1">
      <c r="A628" s="2" t="s">
        <v>102</v>
      </c>
      <c r="B628" s="2" t="s">
        <v>222</v>
      </c>
      <c r="C628" s="2" t="s">
        <v>104</v>
      </c>
      <c r="D628" s="2">
        <v>0.0</v>
      </c>
      <c r="E628" s="2">
        <v>0.0</v>
      </c>
      <c r="F628" s="2">
        <v>0.0</v>
      </c>
      <c r="G628" s="2">
        <v>0.0</v>
      </c>
      <c r="H628" s="2">
        <v>0.0</v>
      </c>
    </row>
    <row r="629" ht="14.25" customHeight="1">
      <c r="A629" s="2" t="s">
        <v>102</v>
      </c>
      <c r="B629" s="2" t="s">
        <v>222</v>
      </c>
      <c r="C629" s="2" t="s">
        <v>104</v>
      </c>
      <c r="D629" s="2">
        <v>0.0</v>
      </c>
      <c r="E629" s="2">
        <v>0.0</v>
      </c>
      <c r="F629" s="2">
        <v>0.0</v>
      </c>
      <c r="G629" s="2">
        <v>0.0</v>
      </c>
      <c r="H629" s="2">
        <v>0.0</v>
      </c>
    </row>
    <row r="630" ht="14.25" customHeight="1">
      <c r="A630" s="2" t="s">
        <v>102</v>
      </c>
      <c r="B630" s="2" t="s">
        <v>222</v>
      </c>
      <c r="C630" s="2" t="s">
        <v>104</v>
      </c>
      <c r="D630" s="2">
        <v>0.0</v>
      </c>
      <c r="E630" s="2">
        <v>0.0</v>
      </c>
      <c r="F630" s="2">
        <v>0.0</v>
      </c>
      <c r="G630" s="2">
        <v>0.0</v>
      </c>
      <c r="H630" s="2">
        <v>0.0</v>
      </c>
    </row>
    <row r="631" ht="14.25" customHeight="1">
      <c r="A631" s="2" t="s">
        <v>102</v>
      </c>
      <c r="B631" s="2" t="s">
        <v>222</v>
      </c>
      <c r="C631" s="2" t="s">
        <v>104</v>
      </c>
      <c r="D631" s="2">
        <v>0.0</v>
      </c>
      <c r="E631" s="2">
        <v>0.0</v>
      </c>
      <c r="F631" s="2">
        <v>0.0</v>
      </c>
      <c r="G631" s="2">
        <v>0.0</v>
      </c>
      <c r="H631" s="2">
        <v>0.0</v>
      </c>
    </row>
    <row r="632" ht="14.25" customHeight="1">
      <c r="A632" s="2" t="s">
        <v>102</v>
      </c>
      <c r="B632" s="2" t="s">
        <v>222</v>
      </c>
      <c r="C632" s="2" t="s">
        <v>104</v>
      </c>
      <c r="D632" s="2">
        <v>0.0</v>
      </c>
      <c r="E632" s="2">
        <v>0.0</v>
      </c>
      <c r="F632" s="2">
        <v>0.0</v>
      </c>
      <c r="G632" s="2">
        <v>0.0</v>
      </c>
      <c r="H632" s="2">
        <v>0.0</v>
      </c>
    </row>
    <row r="633" ht="14.25" customHeight="1">
      <c r="A633" s="2" t="s">
        <v>102</v>
      </c>
      <c r="B633" s="2" t="s">
        <v>222</v>
      </c>
      <c r="C633" s="2" t="s">
        <v>16</v>
      </c>
      <c r="D633" s="2">
        <v>0.0</v>
      </c>
      <c r="E633" s="2">
        <v>0.0</v>
      </c>
      <c r="F633" s="2">
        <v>0.0</v>
      </c>
      <c r="G633" s="2">
        <v>0.0</v>
      </c>
      <c r="H633" s="2">
        <v>0.0</v>
      </c>
    </row>
    <row r="634" ht="14.25" customHeight="1">
      <c r="A634" s="2" t="s">
        <v>102</v>
      </c>
      <c r="B634" s="2" t="s">
        <v>222</v>
      </c>
      <c r="C634" s="2" t="s">
        <v>17</v>
      </c>
      <c r="D634" s="2">
        <v>0.0</v>
      </c>
      <c r="E634" s="2">
        <v>0.0</v>
      </c>
      <c r="F634" s="2">
        <v>0.0</v>
      </c>
      <c r="G634" s="2">
        <v>0.0</v>
      </c>
      <c r="H634" s="2">
        <v>0.0</v>
      </c>
    </row>
    <row r="635" ht="14.25" customHeight="1">
      <c r="A635" s="2" t="s">
        <v>102</v>
      </c>
      <c r="B635" s="2" t="s">
        <v>103</v>
      </c>
      <c r="C635" s="2" t="s">
        <v>10</v>
      </c>
      <c r="D635" s="2">
        <v>2346.880303621841</v>
      </c>
      <c r="E635" s="2">
        <v>106.9638427720536</v>
      </c>
      <c r="F635" s="2">
        <v>40159.20363968443</v>
      </c>
      <c r="G635" s="2">
        <v>25.43061577108254</v>
      </c>
      <c r="H635" s="2">
        <v>0.4772372580957355</v>
      </c>
    </row>
    <row r="636" ht="14.25" customHeight="1">
      <c r="A636" s="2" t="s">
        <v>102</v>
      </c>
      <c r="B636" s="2" t="s">
        <v>18</v>
      </c>
      <c r="C636" s="2" t="s">
        <v>10</v>
      </c>
      <c r="D636" s="2">
        <v>0.0</v>
      </c>
      <c r="E636" s="2">
        <v>0.0</v>
      </c>
      <c r="F636" s="2">
        <v>0.0</v>
      </c>
      <c r="G636" s="2">
        <v>0.0</v>
      </c>
      <c r="H636" s="2">
        <v>0.0</v>
      </c>
    </row>
    <row r="637" ht="14.25" customHeight="1">
      <c r="A637" s="2" t="s">
        <v>105</v>
      </c>
      <c r="B637" s="2" t="s">
        <v>23</v>
      </c>
      <c r="C637" s="2" t="s">
        <v>24</v>
      </c>
      <c r="D637" s="2">
        <v>6319.482053472</v>
      </c>
      <c r="E637" s="2">
        <v>8.05207296</v>
      </c>
      <c r="F637" s="2">
        <v>162517.167860784</v>
      </c>
      <c r="G637" s="2">
        <v>46.425856596</v>
      </c>
      <c r="H637" s="2">
        <v>0.854396450382</v>
      </c>
    </row>
    <row r="638" ht="14.25" customHeight="1">
      <c r="A638" s="2" t="s">
        <v>105</v>
      </c>
      <c r="B638" s="2" t="s">
        <v>23</v>
      </c>
      <c r="C638" s="2" t="s">
        <v>24</v>
      </c>
      <c r="D638" s="2">
        <v>2578.135809936</v>
      </c>
      <c r="E638" s="2">
        <v>3.68122422</v>
      </c>
      <c r="F638" s="2">
        <v>72031.432990392</v>
      </c>
      <c r="G638" s="2">
        <v>22.827825438</v>
      </c>
      <c r="H638" s="2">
        <v>0.424845985191</v>
      </c>
    </row>
    <row r="639" ht="14.25" customHeight="1">
      <c r="A639" s="2" t="s">
        <v>105</v>
      </c>
      <c r="B639" s="2" t="s">
        <v>23</v>
      </c>
      <c r="C639" s="2" t="s">
        <v>25</v>
      </c>
      <c r="D639" s="2">
        <v>347.608501492</v>
      </c>
      <c r="E639" s="2">
        <v>1.18253562</v>
      </c>
      <c r="F639" s="2">
        <v>7019.852243124</v>
      </c>
      <c r="G639" s="2">
        <v>4.455445561</v>
      </c>
      <c r="H639" s="2">
        <v>0.0086447493895</v>
      </c>
    </row>
    <row r="640" ht="14.25" customHeight="1">
      <c r="A640" s="2" t="s">
        <v>105</v>
      </c>
      <c r="B640" s="2" t="s">
        <v>23</v>
      </c>
      <c r="C640" s="2" t="s">
        <v>25</v>
      </c>
      <c r="D640" s="2">
        <v>89.7271389014</v>
      </c>
      <c r="E640" s="2">
        <v>0.259028981574</v>
      </c>
      <c r="F640" s="2">
        <v>2196.474856614009</v>
      </c>
      <c r="G640" s="2">
        <v>1.115914536462</v>
      </c>
      <c r="H640" s="2">
        <v>0.00211444085644</v>
      </c>
    </row>
    <row r="641" ht="14.25" customHeight="1">
      <c r="A641" s="2" t="s">
        <v>105</v>
      </c>
      <c r="B641" s="2" t="s">
        <v>23</v>
      </c>
      <c r="C641" s="2" t="s">
        <v>25</v>
      </c>
      <c r="D641" s="2">
        <v>103.65215423808</v>
      </c>
      <c r="E641" s="2">
        <v>0.3530811312</v>
      </c>
      <c r="F641" s="2">
        <v>2095.44154340976</v>
      </c>
      <c r="G641" s="2">
        <v>1.33543781364</v>
      </c>
      <c r="H641" s="2">
        <v>0.00258936585348</v>
      </c>
    </row>
    <row r="642" ht="14.25" customHeight="1">
      <c r="A642" s="2" t="s">
        <v>105</v>
      </c>
      <c r="B642" s="2" t="s">
        <v>23</v>
      </c>
      <c r="C642" s="2" t="s">
        <v>25</v>
      </c>
      <c r="D642" s="2">
        <v>256.66247716096</v>
      </c>
      <c r="E642" s="2">
        <v>0.8742961344</v>
      </c>
      <c r="F642" s="2">
        <v>5188.71239320512</v>
      </c>
      <c r="G642" s="2">
        <v>3.30679839568</v>
      </c>
      <c r="H642" s="2">
        <v>0.00641176306576</v>
      </c>
    </row>
    <row r="643" ht="14.25" customHeight="1">
      <c r="A643" s="2" t="s">
        <v>105</v>
      </c>
      <c r="B643" s="2" t="s">
        <v>23</v>
      </c>
      <c r="C643" s="2" t="s">
        <v>25</v>
      </c>
      <c r="D643" s="2">
        <v>83.772801233216</v>
      </c>
      <c r="E643" s="2">
        <v>0.28546501184</v>
      </c>
      <c r="F643" s="2">
        <v>1694.040104005152</v>
      </c>
      <c r="G643" s="2">
        <v>1.080810553528</v>
      </c>
      <c r="H643" s="2">
        <v>0.002095277089296</v>
      </c>
    </row>
    <row r="644" ht="14.25" customHeight="1">
      <c r="A644" s="2" t="s">
        <v>105</v>
      </c>
      <c r="B644" s="2" t="s">
        <v>23</v>
      </c>
      <c r="C644" s="2" t="s">
        <v>31</v>
      </c>
      <c r="D644" s="2">
        <v>59.2519015727672</v>
      </c>
      <c r="E644" s="2">
        <v>0.020024865828</v>
      </c>
      <c r="F644" s="2">
        <v>1189.026705544858</v>
      </c>
      <c r="G644" s="2">
        <v>0.6461333390226</v>
      </c>
      <c r="H644" s="2">
        <v>0.0014488958399157</v>
      </c>
    </row>
    <row r="645" ht="14.25" customHeight="1">
      <c r="A645" s="2" t="s">
        <v>105</v>
      </c>
      <c r="B645" s="2" t="s">
        <v>23</v>
      </c>
      <c r="C645" s="2" t="s">
        <v>31</v>
      </c>
      <c r="D645" s="2">
        <v>76.15706482584</v>
      </c>
      <c r="E645" s="2">
        <v>1.6100219736</v>
      </c>
      <c r="F645" s="2">
        <v>2046.70702937448</v>
      </c>
      <c r="G645" s="2">
        <v>1.10816780922</v>
      </c>
      <c r="H645" s="2">
        <v>0.00227181718629</v>
      </c>
    </row>
    <row r="646" ht="14.25" customHeight="1">
      <c r="A646" s="2" t="s">
        <v>105</v>
      </c>
      <c r="B646" s="2" t="s">
        <v>23</v>
      </c>
      <c r="C646" s="2" t="s">
        <v>32</v>
      </c>
      <c r="D646" s="2">
        <v>202.700773296</v>
      </c>
      <c r="E646" s="2">
        <v>0.639644565</v>
      </c>
      <c r="F646" s="2">
        <v>5379.71992467</v>
      </c>
      <c r="G646" s="2">
        <v>3.48322059</v>
      </c>
      <c r="H646" s="2">
        <v>0.016846239</v>
      </c>
    </row>
    <row r="647" ht="14.25" customHeight="1">
      <c r="A647" s="2" t="s">
        <v>105</v>
      </c>
      <c r="B647" s="2" t="s">
        <v>23</v>
      </c>
      <c r="C647" s="2" t="s">
        <v>32</v>
      </c>
      <c r="D647" s="2">
        <v>114.92675956125</v>
      </c>
      <c r="E647" s="2">
        <v>0.38655439875</v>
      </c>
      <c r="F647" s="2">
        <v>3155.0947549875</v>
      </c>
      <c r="G647" s="2">
        <v>2.34606688875</v>
      </c>
      <c r="H647" s="2">
        <v>0.0109093725</v>
      </c>
    </row>
    <row r="648" ht="14.25" customHeight="1">
      <c r="A648" s="2" t="s">
        <v>105</v>
      </c>
      <c r="B648" s="2" t="s">
        <v>23</v>
      </c>
      <c r="C648" s="2" t="s">
        <v>26</v>
      </c>
      <c r="D648" s="2">
        <v>14.46726556278875</v>
      </c>
      <c r="E648" s="2">
        <v>0.04114681246</v>
      </c>
      <c r="F648" s="2">
        <v>302.928546913875</v>
      </c>
      <c r="G648" s="2">
        <v>0.2153584289275</v>
      </c>
      <c r="H648" s="2">
        <v>0.0010119595975</v>
      </c>
    </row>
    <row r="649" ht="14.25" customHeight="1">
      <c r="A649" s="2" t="s">
        <v>105</v>
      </c>
      <c r="B649" s="2" t="s">
        <v>23</v>
      </c>
      <c r="C649" s="2" t="s">
        <v>33</v>
      </c>
      <c r="D649" s="2">
        <v>16.38876651139</v>
      </c>
      <c r="E649" s="2">
        <v>0.21038348058</v>
      </c>
      <c r="F649" s="2">
        <v>2414.3927579954</v>
      </c>
      <c r="G649" s="2">
        <v>0.65682574412</v>
      </c>
      <c r="H649" s="2">
        <v>0.002377458174</v>
      </c>
    </row>
    <row r="650" ht="14.25" customHeight="1">
      <c r="A650" s="2" t="s">
        <v>105</v>
      </c>
      <c r="B650" s="2" t="s">
        <v>209</v>
      </c>
      <c r="C650" s="2" t="s">
        <v>24</v>
      </c>
      <c r="D650" s="2">
        <v>0.0</v>
      </c>
      <c r="E650" s="2">
        <v>0.0</v>
      </c>
      <c r="F650" s="2">
        <v>0.0</v>
      </c>
      <c r="G650" s="2">
        <v>0.0</v>
      </c>
      <c r="H650" s="2">
        <v>0.0</v>
      </c>
    </row>
    <row r="651" ht="14.25" customHeight="1">
      <c r="A651" s="2" t="s">
        <v>105</v>
      </c>
      <c r="B651" s="2" t="s">
        <v>209</v>
      </c>
      <c r="C651" s="2" t="s">
        <v>24</v>
      </c>
      <c r="D651" s="2">
        <v>0.0</v>
      </c>
      <c r="E651" s="2">
        <v>0.0</v>
      </c>
      <c r="F651" s="2">
        <v>0.0</v>
      </c>
      <c r="G651" s="2">
        <v>0.0</v>
      </c>
      <c r="H651" s="2">
        <v>0.0</v>
      </c>
    </row>
    <row r="652" ht="14.25" customHeight="1">
      <c r="A652" s="2" t="s">
        <v>105</v>
      </c>
      <c r="B652" s="2" t="s">
        <v>209</v>
      </c>
      <c r="C652" s="2" t="s">
        <v>25</v>
      </c>
      <c r="D652" s="2">
        <v>0.0</v>
      </c>
      <c r="E652" s="2">
        <v>0.0</v>
      </c>
      <c r="F652" s="2">
        <v>0.0</v>
      </c>
      <c r="G652" s="2">
        <v>0.0</v>
      </c>
      <c r="H652" s="2">
        <v>0.0</v>
      </c>
    </row>
    <row r="653" ht="14.25" customHeight="1">
      <c r="A653" s="2" t="s">
        <v>105</v>
      </c>
      <c r="B653" s="2" t="s">
        <v>209</v>
      </c>
      <c r="C653" s="2" t="s">
        <v>25</v>
      </c>
      <c r="D653" s="2">
        <v>0.0</v>
      </c>
      <c r="E653" s="2">
        <v>0.0</v>
      </c>
      <c r="F653" s="2">
        <v>0.0</v>
      </c>
      <c r="G653" s="2">
        <v>0.0</v>
      </c>
      <c r="H653" s="2">
        <v>0.0</v>
      </c>
    </row>
    <row r="654" ht="14.25" customHeight="1">
      <c r="A654" s="2" t="s">
        <v>105</v>
      </c>
      <c r="B654" s="2" t="s">
        <v>209</v>
      </c>
      <c r="C654" s="2" t="s">
        <v>25</v>
      </c>
      <c r="D654" s="2">
        <v>0.0</v>
      </c>
      <c r="E654" s="2">
        <v>0.0</v>
      </c>
      <c r="F654" s="2">
        <v>0.0</v>
      </c>
      <c r="G654" s="2">
        <v>0.0</v>
      </c>
      <c r="H654" s="2">
        <v>0.0</v>
      </c>
    </row>
    <row r="655" ht="14.25" customHeight="1">
      <c r="A655" s="2" t="s">
        <v>105</v>
      </c>
      <c r="B655" s="2" t="s">
        <v>209</v>
      </c>
      <c r="C655" s="2" t="s">
        <v>25</v>
      </c>
      <c r="D655" s="2">
        <v>0.0</v>
      </c>
      <c r="E655" s="2">
        <v>0.0</v>
      </c>
      <c r="F655" s="2">
        <v>0.0</v>
      </c>
      <c r="G655" s="2">
        <v>0.0</v>
      </c>
      <c r="H655" s="2">
        <v>0.0</v>
      </c>
    </row>
    <row r="656" ht="14.25" customHeight="1">
      <c r="A656" s="2" t="s">
        <v>105</v>
      </c>
      <c r="B656" s="2" t="s">
        <v>209</v>
      </c>
      <c r="C656" s="2" t="s">
        <v>25</v>
      </c>
      <c r="D656" s="2">
        <v>0.0</v>
      </c>
      <c r="E656" s="2">
        <v>0.0</v>
      </c>
      <c r="F656" s="2">
        <v>0.0</v>
      </c>
      <c r="G656" s="2">
        <v>0.0</v>
      </c>
      <c r="H656" s="2">
        <v>0.0</v>
      </c>
    </row>
    <row r="657" ht="14.25" customHeight="1">
      <c r="A657" s="2" t="s">
        <v>105</v>
      </c>
      <c r="B657" s="2" t="s">
        <v>209</v>
      </c>
      <c r="C657" s="2" t="s">
        <v>31</v>
      </c>
      <c r="D657" s="2">
        <v>0.0</v>
      </c>
      <c r="E657" s="2">
        <v>0.0</v>
      </c>
      <c r="F657" s="2">
        <v>0.0</v>
      </c>
      <c r="G657" s="2">
        <v>0.0</v>
      </c>
      <c r="H657" s="2">
        <v>0.0</v>
      </c>
    </row>
    <row r="658" ht="14.25" customHeight="1">
      <c r="A658" s="2" t="s">
        <v>105</v>
      </c>
      <c r="B658" s="2" t="s">
        <v>209</v>
      </c>
      <c r="C658" s="2" t="s">
        <v>31</v>
      </c>
      <c r="D658" s="2">
        <v>0.0</v>
      </c>
      <c r="E658" s="2">
        <v>0.0</v>
      </c>
      <c r="F658" s="2">
        <v>0.0</v>
      </c>
      <c r="G658" s="2">
        <v>0.0</v>
      </c>
      <c r="H658" s="2">
        <v>0.0</v>
      </c>
    </row>
    <row r="659" ht="14.25" customHeight="1">
      <c r="A659" s="2" t="s">
        <v>105</v>
      </c>
      <c r="B659" s="2" t="s">
        <v>209</v>
      </c>
      <c r="C659" s="2" t="s">
        <v>32</v>
      </c>
      <c r="D659" s="2">
        <v>0.0</v>
      </c>
      <c r="E659" s="2">
        <v>0.0</v>
      </c>
      <c r="F659" s="2">
        <v>0.0</v>
      </c>
      <c r="G659" s="2">
        <v>0.0</v>
      </c>
      <c r="H659" s="2">
        <v>0.0</v>
      </c>
    </row>
    <row r="660" ht="14.25" customHeight="1">
      <c r="A660" s="2" t="s">
        <v>105</v>
      </c>
      <c r="B660" s="2" t="s">
        <v>209</v>
      </c>
      <c r="C660" s="2" t="s">
        <v>32</v>
      </c>
      <c r="D660" s="2">
        <v>0.0</v>
      </c>
      <c r="E660" s="2">
        <v>0.0</v>
      </c>
      <c r="F660" s="2">
        <v>0.0</v>
      </c>
      <c r="G660" s="2">
        <v>0.0</v>
      </c>
      <c r="H660" s="2">
        <v>0.0</v>
      </c>
    </row>
    <row r="661" ht="14.25" customHeight="1">
      <c r="A661" s="2" t="s">
        <v>105</v>
      </c>
      <c r="B661" s="2" t="s">
        <v>209</v>
      </c>
      <c r="C661" s="2" t="s">
        <v>26</v>
      </c>
      <c r="D661" s="2">
        <v>0.0</v>
      </c>
      <c r="E661" s="2">
        <v>0.0</v>
      </c>
      <c r="F661" s="2">
        <v>0.0</v>
      </c>
      <c r="G661" s="2">
        <v>0.0</v>
      </c>
      <c r="H661" s="2">
        <v>0.0</v>
      </c>
    </row>
    <row r="662" ht="14.25" customHeight="1">
      <c r="A662" s="2" t="s">
        <v>105</v>
      </c>
      <c r="B662" s="2" t="s">
        <v>209</v>
      </c>
      <c r="C662" s="2" t="s">
        <v>33</v>
      </c>
      <c r="D662" s="2">
        <v>0.0</v>
      </c>
      <c r="E662" s="2">
        <v>0.0</v>
      </c>
      <c r="F662" s="2">
        <v>0.0</v>
      </c>
      <c r="G662" s="2">
        <v>0.0</v>
      </c>
      <c r="H662" s="2">
        <v>0.0</v>
      </c>
    </row>
    <row r="663" ht="14.25" customHeight="1">
      <c r="A663" s="2" t="s">
        <v>105</v>
      </c>
      <c r="B663" s="2" t="s">
        <v>23</v>
      </c>
      <c r="C663" s="2" t="s">
        <v>10</v>
      </c>
      <c r="D663" s="2">
        <v>10262.93346776369</v>
      </c>
      <c r="E663" s="2">
        <v>17.595480155232</v>
      </c>
      <c r="F663" s="2">
        <v>267230.9917110202</v>
      </c>
      <c r="G663" s="2">
        <v>89.0038616943501</v>
      </c>
      <c r="H663" s="2">
        <v>1.335963774125182</v>
      </c>
    </row>
    <row r="664" ht="14.25" customHeight="1">
      <c r="A664" s="2" t="s">
        <v>105</v>
      </c>
      <c r="B664" s="2" t="s">
        <v>29</v>
      </c>
      <c r="C664" s="2" t="s">
        <v>10</v>
      </c>
      <c r="D664" s="2">
        <v>0.0</v>
      </c>
      <c r="E664" s="2">
        <v>0.0</v>
      </c>
      <c r="F664" s="2">
        <v>0.0</v>
      </c>
      <c r="G664" s="2">
        <v>0.0</v>
      </c>
      <c r="H664" s="2">
        <v>0.0</v>
      </c>
    </row>
    <row r="665" ht="14.25" customHeight="1">
      <c r="A665" s="2" t="s">
        <v>105</v>
      </c>
      <c r="B665" s="2" t="s">
        <v>18</v>
      </c>
      <c r="C665" s="2" t="s">
        <v>10</v>
      </c>
      <c r="D665" s="2">
        <v>0.0</v>
      </c>
      <c r="E665" s="2">
        <v>0.0</v>
      </c>
      <c r="F665" s="2">
        <v>0.0</v>
      </c>
      <c r="G665" s="2">
        <v>0.0</v>
      </c>
      <c r="H665" s="2">
        <v>0.0</v>
      </c>
    </row>
    <row r="666" ht="14.25" customHeight="1">
      <c r="A666" s="2" t="s">
        <v>106</v>
      </c>
      <c r="B666" s="2" t="s">
        <v>23</v>
      </c>
      <c r="C666" s="2" t="s">
        <v>24</v>
      </c>
      <c r="D666" s="2">
        <v>1210.54362630504</v>
      </c>
      <c r="E666" s="2">
        <v>1.5414744716</v>
      </c>
      <c r="F666" s="2">
        <v>31137.60836478688</v>
      </c>
      <c r="G666" s="2">
        <v>8.89697943532</v>
      </c>
      <c r="H666" s="2">
        <v>0.16375487412524</v>
      </c>
    </row>
    <row r="667" ht="14.25" customHeight="1">
      <c r="A667" s="2" t="s">
        <v>106</v>
      </c>
      <c r="B667" s="2" t="s">
        <v>23</v>
      </c>
      <c r="C667" s="2" t="s">
        <v>24</v>
      </c>
      <c r="D667" s="2">
        <v>3581.0398303008</v>
      </c>
      <c r="E667" s="2">
        <v>4.562841344</v>
      </c>
      <c r="F667" s="2">
        <v>92093.0617877776</v>
      </c>
      <c r="G667" s="2">
        <v>26.3079854044</v>
      </c>
      <c r="H667" s="2">
        <v>0.4841579885498</v>
      </c>
    </row>
    <row r="668" ht="14.25" customHeight="1">
      <c r="A668" s="2" t="s">
        <v>106</v>
      </c>
      <c r="B668" s="2" t="s">
        <v>23</v>
      </c>
      <c r="C668" s="2" t="s">
        <v>25</v>
      </c>
      <c r="D668" s="2">
        <v>134.0775648612</v>
      </c>
      <c r="E668" s="2">
        <v>0.456120882</v>
      </c>
      <c r="F668" s="2">
        <v>2707.6572937764</v>
      </c>
      <c r="G668" s="2">
        <v>1.7185290021</v>
      </c>
      <c r="H668" s="2">
        <v>0.00333440333595</v>
      </c>
    </row>
    <row r="669" ht="14.25" customHeight="1">
      <c r="A669" s="2" t="s">
        <v>106</v>
      </c>
      <c r="B669" s="2" t="s">
        <v>23</v>
      </c>
      <c r="C669" s="2" t="s">
        <v>25</v>
      </c>
      <c r="D669" s="2">
        <v>20.3925315685</v>
      </c>
      <c r="E669" s="2">
        <v>0.058870223085</v>
      </c>
      <c r="F669" s="2">
        <v>499.1988310486385</v>
      </c>
      <c r="G669" s="2">
        <v>0.253616940105</v>
      </c>
      <c r="H669" s="2">
        <v>4.805547401E-4</v>
      </c>
    </row>
    <row r="670" ht="14.25" customHeight="1">
      <c r="A670" s="2" t="s">
        <v>106</v>
      </c>
      <c r="B670" s="2" t="s">
        <v>23</v>
      </c>
      <c r="C670" s="2" t="s">
        <v>25</v>
      </c>
      <c r="D670" s="2">
        <v>29.61490121088</v>
      </c>
      <c r="E670" s="2">
        <v>0.1008803232</v>
      </c>
      <c r="F670" s="2">
        <v>598.69758383136</v>
      </c>
      <c r="G670" s="2">
        <v>0.38155366104</v>
      </c>
      <c r="H670" s="2">
        <v>7.3981881528E-4</v>
      </c>
    </row>
    <row r="671" ht="14.25" customHeight="1">
      <c r="A671" s="2" t="s">
        <v>106</v>
      </c>
      <c r="B671" s="2" t="s">
        <v>23</v>
      </c>
      <c r="C671" s="2" t="s">
        <v>25</v>
      </c>
      <c r="D671" s="2">
        <v>69.10143615872</v>
      </c>
      <c r="E671" s="2">
        <v>0.2353874208</v>
      </c>
      <c r="F671" s="2">
        <v>1396.96102893984</v>
      </c>
      <c r="G671" s="2">
        <v>0.89029187576</v>
      </c>
      <c r="H671" s="2">
        <v>0.00172624390232</v>
      </c>
    </row>
    <row r="672" ht="14.25" customHeight="1">
      <c r="A672" s="2" t="s">
        <v>106</v>
      </c>
      <c r="B672" s="2" t="s">
        <v>23</v>
      </c>
      <c r="C672" s="2" t="s">
        <v>31</v>
      </c>
      <c r="D672" s="2">
        <v>70.0249745859976</v>
      </c>
      <c r="E672" s="2">
        <v>0.023665750524</v>
      </c>
      <c r="F672" s="2">
        <v>1405.213379280287</v>
      </c>
      <c r="G672" s="2">
        <v>0.7636121279358</v>
      </c>
      <c r="H672" s="2">
        <v>0.0017123314471731</v>
      </c>
    </row>
    <row r="673" ht="14.25" customHeight="1">
      <c r="A673" s="2" t="s">
        <v>106</v>
      </c>
      <c r="B673" s="2" t="s">
        <v>23</v>
      </c>
      <c r="C673" s="2" t="s">
        <v>32</v>
      </c>
      <c r="D673" s="2">
        <v>77.780529288</v>
      </c>
      <c r="E673" s="2">
        <v>0.2454450075</v>
      </c>
      <c r="F673" s="2">
        <v>2064.311133885</v>
      </c>
      <c r="G673" s="2">
        <v>1.336584645</v>
      </c>
      <c r="H673" s="2">
        <v>0.0064642545</v>
      </c>
    </row>
    <row r="674" ht="14.25" customHeight="1">
      <c r="A674" s="2" t="s">
        <v>106</v>
      </c>
      <c r="B674" s="2" t="s">
        <v>23</v>
      </c>
      <c r="C674" s="2" t="s">
        <v>32</v>
      </c>
      <c r="D674" s="2">
        <v>24.7534559055</v>
      </c>
      <c r="E674" s="2">
        <v>0.0832578705</v>
      </c>
      <c r="F674" s="2">
        <v>679.558870305</v>
      </c>
      <c r="G674" s="2">
        <v>0.5053067145</v>
      </c>
      <c r="H674" s="2">
        <v>0.002349711</v>
      </c>
    </row>
    <row r="675" ht="14.25" customHeight="1">
      <c r="A675" s="2" t="s">
        <v>106</v>
      </c>
      <c r="B675" s="2" t="s">
        <v>23</v>
      </c>
      <c r="C675" s="2" t="s">
        <v>26</v>
      </c>
      <c r="D675" s="2">
        <v>104.75158210275</v>
      </c>
      <c r="E675" s="2">
        <v>0.260598312703125</v>
      </c>
      <c r="F675" s="2">
        <v>2489.983558527188</v>
      </c>
      <c r="G675" s="2">
        <v>1.80102288421875</v>
      </c>
      <c r="H675" s="2">
        <v>0.00700595206875</v>
      </c>
    </row>
    <row r="676" ht="14.25" customHeight="1">
      <c r="A676" s="2" t="s">
        <v>106</v>
      </c>
      <c r="B676" s="2" t="s">
        <v>23</v>
      </c>
      <c r="C676" s="2" t="s">
        <v>33</v>
      </c>
      <c r="D676" s="2">
        <v>36.61295145976</v>
      </c>
      <c r="E676" s="2">
        <v>0.47000243472</v>
      </c>
      <c r="F676" s="2">
        <v>5393.8192841936</v>
      </c>
      <c r="G676" s="2">
        <v>1.46736663008</v>
      </c>
      <c r="H676" s="2">
        <v>0.005311306416</v>
      </c>
    </row>
    <row r="677" ht="14.25" customHeight="1">
      <c r="A677" s="2" t="s">
        <v>106</v>
      </c>
      <c r="B677" s="2" t="s">
        <v>23</v>
      </c>
      <c r="C677" s="2" t="s">
        <v>33</v>
      </c>
      <c r="D677" s="2">
        <v>36.61295145976</v>
      </c>
      <c r="E677" s="2">
        <v>0.47000243472</v>
      </c>
      <c r="F677" s="2">
        <v>5393.8192841936</v>
      </c>
      <c r="G677" s="2">
        <v>1.46736663008</v>
      </c>
      <c r="H677" s="2">
        <v>0.005311306416</v>
      </c>
    </row>
    <row r="678" ht="14.25" customHeight="1">
      <c r="A678" s="2" t="s">
        <v>106</v>
      </c>
      <c r="B678" s="2" t="s">
        <v>209</v>
      </c>
      <c r="C678" s="2" t="s">
        <v>24</v>
      </c>
      <c r="D678" s="2">
        <v>0.0</v>
      </c>
      <c r="E678" s="2">
        <v>0.0</v>
      </c>
      <c r="F678" s="2">
        <v>0.0</v>
      </c>
      <c r="G678" s="2">
        <v>0.0</v>
      </c>
      <c r="H678" s="2">
        <v>0.0</v>
      </c>
    </row>
    <row r="679" ht="14.25" customHeight="1">
      <c r="A679" s="2" t="s">
        <v>106</v>
      </c>
      <c r="B679" s="2" t="s">
        <v>209</v>
      </c>
      <c r="C679" s="2" t="s">
        <v>24</v>
      </c>
      <c r="D679" s="2">
        <v>0.0</v>
      </c>
      <c r="E679" s="2">
        <v>0.0</v>
      </c>
      <c r="F679" s="2">
        <v>0.0</v>
      </c>
      <c r="G679" s="2">
        <v>0.0</v>
      </c>
      <c r="H679" s="2">
        <v>0.0</v>
      </c>
    </row>
    <row r="680" ht="14.25" customHeight="1">
      <c r="A680" s="2" t="s">
        <v>106</v>
      </c>
      <c r="B680" s="2" t="s">
        <v>209</v>
      </c>
      <c r="C680" s="2" t="s">
        <v>25</v>
      </c>
      <c r="D680" s="2">
        <v>0.0</v>
      </c>
      <c r="E680" s="2">
        <v>0.0</v>
      </c>
      <c r="F680" s="2">
        <v>0.0</v>
      </c>
      <c r="G680" s="2">
        <v>0.0</v>
      </c>
      <c r="H680" s="2">
        <v>0.0</v>
      </c>
    </row>
    <row r="681" ht="14.25" customHeight="1">
      <c r="A681" s="2" t="s">
        <v>106</v>
      </c>
      <c r="B681" s="2" t="s">
        <v>209</v>
      </c>
      <c r="C681" s="2" t="s">
        <v>25</v>
      </c>
      <c r="D681" s="2">
        <v>0.0</v>
      </c>
      <c r="E681" s="2">
        <v>0.0</v>
      </c>
      <c r="F681" s="2">
        <v>0.0</v>
      </c>
      <c r="G681" s="2">
        <v>0.0</v>
      </c>
      <c r="H681" s="2">
        <v>0.0</v>
      </c>
    </row>
    <row r="682" ht="14.25" customHeight="1">
      <c r="A682" s="2" t="s">
        <v>106</v>
      </c>
      <c r="B682" s="2" t="s">
        <v>209</v>
      </c>
      <c r="C682" s="2" t="s">
        <v>25</v>
      </c>
      <c r="D682" s="2">
        <v>0.0</v>
      </c>
      <c r="E682" s="2">
        <v>0.0</v>
      </c>
      <c r="F682" s="2">
        <v>0.0</v>
      </c>
      <c r="G682" s="2">
        <v>0.0</v>
      </c>
      <c r="H682" s="2">
        <v>0.0</v>
      </c>
    </row>
    <row r="683" ht="14.25" customHeight="1">
      <c r="A683" s="2" t="s">
        <v>106</v>
      </c>
      <c r="B683" s="2" t="s">
        <v>209</v>
      </c>
      <c r="C683" s="2" t="s">
        <v>25</v>
      </c>
      <c r="D683" s="2">
        <v>0.0</v>
      </c>
      <c r="E683" s="2">
        <v>0.0</v>
      </c>
      <c r="F683" s="2">
        <v>0.0</v>
      </c>
      <c r="G683" s="2">
        <v>0.0</v>
      </c>
      <c r="H683" s="2">
        <v>0.0</v>
      </c>
    </row>
    <row r="684" ht="14.25" customHeight="1">
      <c r="A684" s="2" t="s">
        <v>106</v>
      </c>
      <c r="B684" s="2" t="s">
        <v>209</v>
      </c>
      <c r="C684" s="2" t="s">
        <v>31</v>
      </c>
      <c r="D684" s="2">
        <v>0.0</v>
      </c>
      <c r="E684" s="2">
        <v>0.0</v>
      </c>
      <c r="F684" s="2">
        <v>0.0</v>
      </c>
      <c r="G684" s="2">
        <v>0.0</v>
      </c>
      <c r="H684" s="2">
        <v>0.0</v>
      </c>
    </row>
    <row r="685" ht="14.25" customHeight="1">
      <c r="A685" s="2" t="s">
        <v>106</v>
      </c>
      <c r="B685" s="2" t="s">
        <v>209</v>
      </c>
      <c r="C685" s="2" t="s">
        <v>32</v>
      </c>
      <c r="D685" s="2">
        <v>0.0</v>
      </c>
      <c r="E685" s="2">
        <v>0.0</v>
      </c>
      <c r="F685" s="2">
        <v>0.0</v>
      </c>
      <c r="G685" s="2">
        <v>0.0</v>
      </c>
      <c r="H685" s="2">
        <v>0.0</v>
      </c>
    </row>
    <row r="686" ht="14.25" customHeight="1">
      <c r="A686" s="2" t="s">
        <v>106</v>
      </c>
      <c r="B686" s="2" t="s">
        <v>209</v>
      </c>
      <c r="C686" s="2" t="s">
        <v>32</v>
      </c>
      <c r="D686" s="2">
        <v>0.0</v>
      </c>
      <c r="E686" s="2">
        <v>0.0</v>
      </c>
      <c r="F686" s="2">
        <v>0.0</v>
      </c>
      <c r="G686" s="2">
        <v>0.0</v>
      </c>
      <c r="H686" s="2">
        <v>0.0</v>
      </c>
    </row>
    <row r="687" ht="14.25" customHeight="1">
      <c r="A687" s="2" t="s">
        <v>106</v>
      </c>
      <c r="B687" s="2" t="s">
        <v>209</v>
      </c>
      <c r="C687" s="2" t="s">
        <v>26</v>
      </c>
      <c r="D687" s="2">
        <v>0.0</v>
      </c>
      <c r="E687" s="2">
        <v>0.0</v>
      </c>
      <c r="F687" s="2">
        <v>0.0</v>
      </c>
      <c r="G687" s="2">
        <v>0.0</v>
      </c>
      <c r="H687" s="2">
        <v>0.0</v>
      </c>
    </row>
    <row r="688" ht="14.25" customHeight="1">
      <c r="A688" s="2" t="s">
        <v>106</v>
      </c>
      <c r="B688" s="2" t="s">
        <v>209</v>
      </c>
      <c r="C688" s="2" t="s">
        <v>33</v>
      </c>
      <c r="D688" s="2">
        <v>0.0</v>
      </c>
      <c r="E688" s="2">
        <v>0.0</v>
      </c>
      <c r="F688" s="2">
        <v>0.0</v>
      </c>
      <c r="G688" s="2">
        <v>0.0</v>
      </c>
      <c r="H688" s="2">
        <v>0.0</v>
      </c>
    </row>
    <row r="689" ht="14.25" customHeight="1">
      <c r="A689" s="2" t="s">
        <v>106</v>
      </c>
      <c r="B689" s="2" t="s">
        <v>209</v>
      </c>
      <c r="C689" s="2" t="s">
        <v>33</v>
      </c>
      <c r="D689" s="2">
        <v>0.0</v>
      </c>
      <c r="E689" s="2">
        <v>0.0</v>
      </c>
      <c r="F689" s="2">
        <v>0.0</v>
      </c>
      <c r="G689" s="2">
        <v>0.0</v>
      </c>
      <c r="H689" s="2">
        <v>0.0</v>
      </c>
    </row>
    <row r="690" ht="14.25" customHeight="1">
      <c r="A690" s="2" t="s">
        <v>106</v>
      </c>
      <c r="B690" s="2" t="s">
        <v>23</v>
      </c>
      <c r="C690" s="2" t="s">
        <v>10</v>
      </c>
      <c r="D690" s="2">
        <v>5395.306335206908</v>
      </c>
      <c r="E690" s="2">
        <v>8.508546475352125</v>
      </c>
      <c r="F690" s="2">
        <v>145859.8904005454</v>
      </c>
      <c r="G690" s="2">
        <v>45.79021595053955</v>
      </c>
      <c r="H690" s="2">
        <v>0.682348745316613</v>
      </c>
    </row>
    <row r="691" ht="14.25" customHeight="1">
      <c r="A691" s="2" t="s">
        <v>106</v>
      </c>
      <c r="B691" s="2" t="s">
        <v>29</v>
      </c>
      <c r="C691" s="2" t="s">
        <v>34</v>
      </c>
      <c r="D691" s="2">
        <v>3368.46922102272</v>
      </c>
      <c r="E691" s="2">
        <v>4.2893202688</v>
      </c>
      <c r="F691" s="2">
        <v>86643.77979766784</v>
      </c>
      <c r="G691" s="2">
        <v>24.75681234176</v>
      </c>
      <c r="H691" s="2">
        <v>0.45566573669632</v>
      </c>
    </row>
    <row r="692" ht="14.25" customHeight="1">
      <c r="A692" s="2" t="s">
        <v>106</v>
      </c>
      <c r="B692" s="2" t="s">
        <v>29</v>
      </c>
      <c r="C692" s="2" t="s">
        <v>35</v>
      </c>
      <c r="D692" s="2">
        <v>192.49685787072</v>
      </c>
      <c r="E692" s="2">
        <v>0.6557221008</v>
      </c>
      <c r="F692" s="2">
        <v>3891.53429490384</v>
      </c>
      <c r="G692" s="2">
        <v>2.48009879676</v>
      </c>
      <c r="H692" s="2">
        <v>0.00480882229932</v>
      </c>
    </row>
    <row r="693" ht="14.25" customHeight="1">
      <c r="A693" s="2" t="s">
        <v>106</v>
      </c>
      <c r="B693" s="2" t="s">
        <v>29</v>
      </c>
      <c r="C693" s="2" t="s">
        <v>35</v>
      </c>
      <c r="D693" s="2">
        <v>74.0372530272</v>
      </c>
      <c r="E693" s="2">
        <v>0.252200808</v>
      </c>
      <c r="F693" s="2">
        <v>1496.7439595784</v>
      </c>
      <c r="G693" s="2">
        <v>0.9538841526</v>
      </c>
      <c r="H693" s="2">
        <v>0.0018495470382</v>
      </c>
    </row>
    <row r="694" ht="14.25" customHeight="1">
      <c r="A694" s="2" t="s">
        <v>106</v>
      </c>
      <c r="B694" s="2" t="s">
        <v>29</v>
      </c>
      <c r="C694" s="2" t="s">
        <v>35</v>
      </c>
      <c r="D694" s="2">
        <v>83.710856093952</v>
      </c>
      <c r="E694" s="2">
        <v>0.33460695648</v>
      </c>
      <c r="F694" s="2">
        <v>1616.208850623744</v>
      </c>
      <c r="G694" s="2">
        <v>1.003509321216</v>
      </c>
      <c r="H694" s="2">
        <v>0.001980158243712</v>
      </c>
    </row>
    <row r="695" ht="14.25" customHeight="1">
      <c r="A695" s="2" t="s">
        <v>106</v>
      </c>
      <c r="B695" s="2" t="s">
        <v>29</v>
      </c>
      <c r="C695" s="2" t="s">
        <v>36</v>
      </c>
      <c r="D695" s="2">
        <v>0.1374100299</v>
      </c>
      <c r="E695" s="2">
        <v>3.5426025E-5</v>
      </c>
      <c r="F695" s="2">
        <v>2.193261751125</v>
      </c>
      <c r="G695" s="2">
        <v>0.0034307517375</v>
      </c>
      <c r="H695" s="2">
        <v>3.6804375E-5</v>
      </c>
    </row>
    <row r="696" ht="14.25" customHeight="1">
      <c r="A696" s="2" t="s">
        <v>106</v>
      </c>
      <c r="B696" s="2" t="s">
        <v>210</v>
      </c>
      <c r="C696" s="2" t="s">
        <v>34</v>
      </c>
      <c r="D696" s="2">
        <v>0.0</v>
      </c>
      <c r="E696" s="2">
        <v>0.0</v>
      </c>
      <c r="F696" s="2">
        <v>0.0</v>
      </c>
      <c r="G696" s="2">
        <v>0.0</v>
      </c>
      <c r="H696" s="2">
        <v>0.0</v>
      </c>
    </row>
    <row r="697" ht="14.25" customHeight="1">
      <c r="A697" s="2" t="s">
        <v>106</v>
      </c>
      <c r="B697" s="2" t="s">
        <v>210</v>
      </c>
      <c r="C697" s="2" t="s">
        <v>35</v>
      </c>
      <c r="D697" s="2">
        <v>0.0</v>
      </c>
      <c r="E697" s="2">
        <v>0.0</v>
      </c>
      <c r="F697" s="2">
        <v>0.0</v>
      </c>
      <c r="G697" s="2">
        <v>0.0</v>
      </c>
      <c r="H697" s="2">
        <v>0.0</v>
      </c>
    </row>
    <row r="698" ht="14.25" customHeight="1">
      <c r="A698" s="2" t="s">
        <v>106</v>
      </c>
      <c r="B698" s="2" t="s">
        <v>210</v>
      </c>
      <c r="C698" s="2" t="s">
        <v>35</v>
      </c>
      <c r="D698" s="2">
        <v>0.0</v>
      </c>
      <c r="E698" s="2">
        <v>0.0</v>
      </c>
      <c r="F698" s="2">
        <v>0.0</v>
      </c>
      <c r="G698" s="2">
        <v>0.0</v>
      </c>
      <c r="H698" s="2">
        <v>0.0</v>
      </c>
    </row>
    <row r="699" ht="14.25" customHeight="1">
      <c r="A699" s="2" t="s">
        <v>106</v>
      </c>
      <c r="B699" s="2" t="s">
        <v>210</v>
      </c>
      <c r="C699" s="2" t="s">
        <v>35</v>
      </c>
      <c r="D699" s="2">
        <v>0.0</v>
      </c>
      <c r="E699" s="2">
        <v>0.0</v>
      </c>
      <c r="F699" s="2">
        <v>0.0</v>
      </c>
      <c r="G699" s="2">
        <v>0.0</v>
      </c>
      <c r="H699" s="2">
        <v>0.0</v>
      </c>
    </row>
    <row r="700" ht="14.25" customHeight="1">
      <c r="A700" s="2" t="s">
        <v>106</v>
      </c>
      <c r="B700" s="2" t="s">
        <v>210</v>
      </c>
      <c r="C700" s="2" t="s">
        <v>36</v>
      </c>
      <c r="D700" s="2">
        <v>0.0</v>
      </c>
      <c r="E700" s="2">
        <v>0.0</v>
      </c>
      <c r="F700" s="2">
        <v>0.0</v>
      </c>
      <c r="G700" s="2">
        <v>0.0</v>
      </c>
      <c r="H700" s="2">
        <v>0.0</v>
      </c>
    </row>
    <row r="701" ht="14.25" customHeight="1">
      <c r="A701" s="2" t="s">
        <v>106</v>
      </c>
      <c r="B701" s="2" t="s">
        <v>29</v>
      </c>
      <c r="C701" s="2" t="s">
        <v>10</v>
      </c>
      <c r="D701" s="2">
        <v>3718.851598044492</v>
      </c>
      <c r="E701" s="2">
        <v>5.531885560105</v>
      </c>
      <c r="F701" s="2">
        <v>93650.46016452495</v>
      </c>
      <c r="G701" s="2">
        <v>29.1977353640735</v>
      </c>
      <c r="H701" s="2">
        <v>0.464341068652552</v>
      </c>
    </row>
    <row r="702" ht="14.25" customHeight="1">
      <c r="A702" s="2" t="s">
        <v>106</v>
      </c>
      <c r="B702" s="2" t="s">
        <v>18</v>
      </c>
      <c r="C702" s="2" t="s">
        <v>10</v>
      </c>
      <c r="D702" s="2">
        <v>0.0</v>
      </c>
      <c r="E702" s="2">
        <v>0.0</v>
      </c>
      <c r="F702" s="2">
        <v>0.0</v>
      </c>
      <c r="G702" s="2">
        <v>0.0</v>
      </c>
      <c r="H702" s="2">
        <v>0.0</v>
      </c>
    </row>
    <row r="703" ht="14.25" customHeight="1">
      <c r="A703" s="2" t="s">
        <v>107</v>
      </c>
      <c r="B703" s="2" t="s">
        <v>21</v>
      </c>
      <c r="C703" s="2" t="s">
        <v>10</v>
      </c>
      <c r="D703" s="2">
        <v>0.0</v>
      </c>
      <c r="E703" s="2">
        <v>0.0</v>
      </c>
      <c r="F703" s="2">
        <v>0.0</v>
      </c>
      <c r="G703" s="2">
        <v>0.0</v>
      </c>
      <c r="H703" s="2">
        <v>0.0</v>
      </c>
    </row>
    <row r="704" ht="14.25" customHeight="1">
      <c r="A704" s="2" t="s">
        <v>107</v>
      </c>
      <c r="B704" s="2" t="s">
        <v>22</v>
      </c>
      <c r="C704" s="2" t="s">
        <v>10</v>
      </c>
      <c r="D704" s="2">
        <v>0.0</v>
      </c>
      <c r="E704" s="2">
        <v>0.0</v>
      </c>
      <c r="F704" s="2">
        <v>0.0</v>
      </c>
      <c r="G704" s="2">
        <v>0.0</v>
      </c>
      <c r="H704" s="2">
        <v>0.0</v>
      </c>
    </row>
    <row r="705" ht="14.25" customHeight="1">
      <c r="A705" s="2" t="s">
        <v>107</v>
      </c>
      <c r="B705" s="2" t="s">
        <v>70</v>
      </c>
      <c r="C705" s="2" t="s">
        <v>24</v>
      </c>
      <c r="D705" s="2">
        <v>79888.7856259752</v>
      </c>
      <c r="E705" s="2">
        <v>101.791622336</v>
      </c>
      <c r="F705" s="2">
        <v>2054487.863706745</v>
      </c>
      <c r="G705" s="2">
        <v>586.9002038011</v>
      </c>
      <c r="H705" s="2">
        <v>10.80099512691245</v>
      </c>
    </row>
    <row r="706" ht="14.25" customHeight="1">
      <c r="A706" s="2" t="s">
        <v>107</v>
      </c>
      <c r="B706" s="2" t="s">
        <v>70</v>
      </c>
      <c r="C706" s="2" t="s">
        <v>25</v>
      </c>
      <c r="D706" s="2">
        <v>2636.8587756036</v>
      </c>
      <c r="E706" s="2">
        <v>8.970377346</v>
      </c>
      <c r="F706" s="2">
        <v>53250.5934442692</v>
      </c>
      <c r="G706" s="2">
        <v>33.7977370413</v>
      </c>
      <c r="H706" s="2">
        <v>0.06557659894035</v>
      </c>
    </row>
    <row r="707" ht="14.25" customHeight="1">
      <c r="A707" s="2" t="s">
        <v>107</v>
      </c>
      <c r="B707" s="2" t="s">
        <v>70</v>
      </c>
      <c r="C707" s="2" t="s">
        <v>32</v>
      </c>
      <c r="D707" s="2">
        <v>1267.1411951625</v>
      </c>
      <c r="E707" s="2">
        <v>4.2620100375</v>
      </c>
      <c r="F707" s="2">
        <v>34786.942170375</v>
      </c>
      <c r="G707" s="2">
        <v>25.8668913375</v>
      </c>
      <c r="H707" s="2">
        <v>0.120282825</v>
      </c>
    </row>
    <row r="708" ht="14.25" customHeight="1">
      <c r="A708" s="2" t="s">
        <v>107</v>
      </c>
      <c r="B708" s="2" t="s">
        <v>70</v>
      </c>
      <c r="C708" s="2" t="s">
        <v>26</v>
      </c>
      <c r="D708" s="2">
        <v>1424.6215165974</v>
      </c>
      <c r="E708" s="2">
        <v>3.5441370527625</v>
      </c>
      <c r="F708" s="2">
        <v>33863.77639596975</v>
      </c>
      <c r="G708" s="2">
        <v>24.493911225375</v>
      </c>
      <c r="H708" s="2">
        <v>0.095280948135</v>
      </c>
    </row>
    <row r="709" ht="14.25" customHeight="1">
      <c r="A709" s="2" t="s">
        <v>107</v>
      </c>
      <c r="B709" s="2" t="s">
        <v>70</v>
      </c>
      <c r="C709" s="2" t="s">
        <v>46</v>
      </c>
      <c r="D709" s="2">
        <v>2400.07779492</v>
      </c>
      <c r="E709" s="2">
        <v>30.80992824</v>
      </c>
      <c r="F709" s="2">
        <v>353579.4132312</v>
      </c>
      <c r="G709" s="2">
        <v>96.18984336</v>
      </c>
      <c r="H709" s="2">
        <v>0.348170472</v>
      </c>
    </row>
    <row r="710" ht="14.25" customHeight="1">
      <c r="A710" s="2" t="s">
        <v>107</v>
      </c>
      <c r="B710" s="2" t="s">
        <v>70</v>
      </c>
      <c r="C710" s="2" t="s">
        <v>33</v>
      </c>
      <c r="D710" s="2">
        <v>112.02535059064</v>
      </c>
      <c r="E710" s="2">
        <v>1.43807547408</v>
      </c>
      <c r="F710" s="2">
        <v>16503.5724311504</v>
      </c>
      <c r="G710" s="2">
        <v>4.48972985312</v>
      </c>
      <c r="H710" s="2">
        <v>0.016251106224</v>
      </c>
    </row>
    <row r="711" ht="14.25" customHeight="1">
      <c r="A711" s="2" t="s">
        <v>107</v>
      </c>
      <c r="B711" s="2" t="s">
        <v>70</v>
      </c>
      <c r="C711" s="2" t="s">
        <v>33</v>
      </c>
      <c r="D711" s="2">
        <v>132.56628788751</v>
      </c>
      <c r="E711" s="2">
        <v>1.70176059522</v>
      </c>
      <c r="F711" s="2">
        <v>19529.6629070586</v>
      </c>
      <c r="G711" s="2">
        <v>5.31296547708</v>
      </c>
      <c r="H711" s="2">
        <v>0.019230904566</v>
      </c>
    </row>
    <row r="712" ht="14.25" customHeight="1">
      <c r="A712" s="2" t="s">
        <v>107</v>
      </c>
      <c r="B712" s="2" t="s">
        <v>70</v>
      </c>
      <c r="C712" s="2" t="s">
        <v>33</v>
      </c>
      <c r="D712" s="2">
        <v>112.02535059064</v>
      </c>
      <c r="E712" s="2">
        <v>1.43807547408</v>
      </c>
      <c r="F712" s="2">
        <v>16503.5724311504</v>
      </c>
      <c r="G712" s="2">
        <v>4.48972985312</v>
      </c>
      <c r="H712" s="2">
        <v>0.016251106224</v>
      </c>
    </row>
    <row r="713" ht="14.25" customHeight="1">
      <c r="A713" s="2" t="s">
        <v>107</v>
      </c>
      <c r="B713" s="2" t="s">
        <v>70</v>
      </c>
      <c r="C713" s="2" t="s">
        <v>33</v>
      </c>
      <c r="D713" s="2">
        <v>112.02535059064</v>
      </c>
      <c r="E713" s="2">
        <v>1.43807547408</v>
      </c>
      <c r="F713" s="2">
        <v>16503.5724311504</v>
      </c>
      <c r="G713" s="2">
        <v>4.48972985312</v>
      </c>
      <c r="H713" s="2">
        <v>0.016251106224</v>
      </c>
    </row>
    <row r="714" ht="14.25" customHeight="1">
      <c r="A714" s="2" t="s">
        <v>107</v>
      </c>
      <c r="B714" s="2" t="s">
        <v>70</v>
      </c>
      <c r="C714" s="2" t="s">
        <v>33</v>
      </c>
      <c r="D714" s="2">
        <v>112.02535059064</v>
      </c>
      <c r="E714" s="2">
        <v>1.43807547408</v>
      </c>
      <c r="F714" s="2">
        <v>16503.5724311504</v>
      </c>
      <c r="G714" s="2">
        <v>4.48972985312</v>
      </c>
      <c r="H714" s="2">
        <v>0.016251106224</v>
      </c>
    </row>
    <row r="715" ht="14.25" customHeight="1">
      <c r="A715" s="2" t="s">
        <v>107</v>
      </c>
      <c r="B715" s="2" t="s">
        <v>215</v>
      </c>
      <c r="C715" s="2" t="s">
        <v>24</v>
      </c>
      <c r="D715" s="2">
        <v>0.0</v>
      </c>
      <c r="E715" s="2">
        <v>0.0</v>
      </c>
      <c r="F715" s="2">
        <v>0.0</v>
      </c>
      <c r="G715" s="2">
        <v>0.0</v>
      </c>
      <c r="H715" s="2">
        <v>0.0</v>
      </c>
    </row>
    <row r="716" ht="14.25" customHeight="1">
      <c r="A716" s="2" t="s">
        <v>107</v>
      </c>
      <c r="B716" s="2" t="s">
        <v>215</v>
      </c>
      <c r="C716" s="2" t="s">
        <v>25</v>
      </c>
      <c r="D716" s="2">
        <v>0.0</v>
      </c>
      <c r="E716" s="2">
        <v>0.0</v>
      </c>
      <c r="F716" s="2">
        <v>0.0</v>
      </c>
      <c r="G716" s="2">
        <v>0.0</v>
      </c>
      <c r="H716" s="2">
        <v>0.0</v>
      </c>
    </row>
    <row r="717" ht="14.25" customHeight="1">
      <c r="A717" s="2" t="s">
        <v>107</v>
      </c>
      <c r="B717" s="2" t="s">
        <v>215</v>
      </c>
      <c r="C717" s="2" t="s">
        <v>32</v>
      </c>
      <c r="D717" s="2">
        <v>0.0</v>
      </c>
      <c r="E717" s="2">
        <v>0.0</v>
      </c>
      <c r="F717" s="2">
        <v>0.0</v>
      </c>
      <c r="G717" s="2">
        <v>0.0</v>
      </c>
      <c r="H717" s="2">
        <v>0.0</v>
      </c>
    </row>
    <row r="718" ht="14.25" customHeight="1">
      <c r="A718" s="2" t="s">
        <v>107</v>
      </c>
      <c r="B718" s="2" t="s">
        <v>215</v>
      </c>
      <c r="C718" s="2" t="s">
        <v>26</v>
      </c>
      <c r="D718" s="2">
        <v>0.0</v>
      </c>
      <c r="E718" s="2">
        <v>0.0</v>
      </c>
      <c r="F718" s="2">
        <v>0.0</v>
      </c>
      <c r="G718" s="2">
        <v>0.0</v>
      </c>
      <c r="H718" s="2">
        <v>0.0</v>
      </c>
    </row>
    <row r="719" ht="14.25" customHeight="1">
      <c r="A719" s="2" t="s">
        <v>107</v>
      </c>
      <c r="B719" s="2" t="s">
        <v>215</v>
      </c>
      <c r="C719" s="2" t="s">
        <v>46</v>
      </c>
      <c r="D719" s="2">
        <v>0.0</v>
      </c>
      <c r="E719" s="2">
        <v>0.0</v>
      </c>
      <c r="F719" s="2">
        <v>0.0</v>
      </c>
      <c r="G719" s="2">
        <v>0.0</v>
      </c>
      <c r="H719" s="2">
        <v>0.0</v>
      </c>
    </row>
    <row r="720" ht="14.25" customHeight="1">
      <c r="A720" s="2" t="s">
        <v>107</v>
      </c>
      <c r="B720" s="2" t="s">
        <v>215</v>
      </c>
      <c r="C720" s="2" t="s">
        <v>33</v>
      </c>
      <c r="D720" s="2">
        <v>0.0</v>
      </c>
      <c r="E720" s="2">
        <v>0.0</v>
      </c>
      <c r="F720" s="2">
        <v>0.0</v>
      </c>
      <c r="G720" s="2">
        <v>0.0</v>
      </c>
      <c r="H720" s="2">
        <v>0.0</v>
      </c>
    </row>
    <row r="721" ht="14.25" customHeight="1">
      <c r="A721" s="2" t="s">
        <v>107</v>
      </c>
      <c r="B721" s="2" t="s">
        <v>215</v>
      </c>
      <c r="C721" s="2" t="s">
        <v>33</v>
      </c>
      <c r="D721" s="2">
        <v>0.0</v>
      </c>
      <c r="E721" s="2">
        <v>0.0</v>
      </c>
      <c r="F721" s="2">
        <v>0.0</v>
      </c>
      <c r="G721" s="2">
        <v>0.0</v>
      </c>
      <c r="H721" s="2">
        <v>0.0</v>
      </c>
    </row>
    <row r="722" ht="14.25" customHeight="1">
      <c r="A722" s="2" t="s">
        <v>107</v>
      </c>
      <c r="B722" s="2" t="s">
        <v>215</v>
      </c>
      <c r="C722" s="2" t="s">
        <v>33</v>
      </c>
      <c r="D722" s="2">
        <v>0.0</v>
      </c>
      <c r="E722" s="2">
        <v>0.0</v>
      </c>
      <c r="F722" s="2">
        <v>0.0</v>
      </c>
      <c r="G722" s="2">
        <v>0.0</v>
      </c>
      <c r="H722" s="2">
        <v>0.0</v>
      </c>
    </row>
    <row r="723" ht="14.25" customHeight="1">
      <c r="A723" s="2" t="s">
        <v>107</v>
      </c>
      <c r="B723" s="2" t="s">
        <v>215</v>
      </c>
      <c r="C723" s="2" t="s">
        <v>33</v>
      </c>
      <c r="D723" s="2">
        <v>0.0</v>
      </c>
      <c r="E723" s="2">
        <v>0.0</v>
      </c>
      <c r="F723" s="2">
        <v>0.0</v>
      </c>
      <c r="G723" s="2">
        <v>0.0</v>
      </c>
      <c r="H723" s="2">
        <v>0.0</v>
      </c>
    </row>
    <row r="724" ht="14.25" customHeight="1">
      <c r="A724" s="2" t="s">
        <v>107</v>
      </c>
      <c r="B724" s="2" t="s">
        <v>215</v>
      </c>
      <c r="C724" s="2" t="s">
        <v>33</v>
      </c>
      <c r="D724" s="2">
        <v>0.0</v>
      </c>
      <c r="E724" s="2">
        <v>0.0</v>
      </c>
      <c r="F724" s="2">
        <v>0.0</v>
      </c>
      <c r="G724" s="2">
        <v>0.0</v>
      </c>
      <c r="H724" s="2">
        <v>0.0</v>
      </c>
    </row>
    <row r="725" ht="14.25" customHeight="1">
      <c r="A725" s="2" t="s">
        <v>107</v>
      </c>
      <c r="B725" s="2" t="s">
        <v>70</v>
      </c>
      <c r="C725" s="2" t="s">
        <v>10</v>
      </c>
      <c r="D725" s="2">
        <v>88198.15259850876</v>
      </c>
      <c r="E725" s="2">
        <v>156.8321375038025</v>
      </c>
      <c r="F725" s="2">
        <v>2615512.541580218</v>
      </c>
      <c r="G725" s="2">
        <v>790.520471654835</v>
      </c>
      <c r="H725" s="2">
        <v>11.5145413004498</v>
      </c>
    </row>
    <row r="726" ht="14.25" customHeight="1">
      <c r="A726" s="2" t="s">
        <v>107</v>
      </c>
      <c r="B726" s="2" t="s">
        <v>71</v>
      </c>
      <c r="C726" s="2" t="s">
        <v>34</v>
      </c>
      <c r="D726" s="2">
        <v>2842.21251185008</v>
      </c>
      <c r="E726" s="2">
        <v>3.3326185432</v>
      </c>
      <c r="F726" s="2">
        <v>68956.35751557376</v>
      </c>
      <c r="G726" s="2">
        <v>18.07280185464</v>
      </c>
      <c r="H726" s="2">
        <v>0.32921294425048</v>
      </c>
    </row>
    <row r="727" ht="14.25" customHeight="1">
      <c r="A727" s="2" t="s">
        <v>107</v>
      </c>
      <c r="B727" s="2" t="s">
        <v>71</v>
      </c>
      <c r="C727" s="2" t="s">
        <v>34</v>
      </c>
      <c r="D727" s="2">
        <v>429.3891129848</v>
      </c>
      <c r="E727" s="2">
        <v>0.612737582</v>
      </c>
      <c r="F727" s="2">
        <v>12000.2321033856</v>
      </c>
      <c r="G727" s="2">
        <v>3.8040681184</v>
      </c>
      <c r="H727" s="2">
        <v>0.0708057313588</v>
      </c>
    </row>
    <row r="728" ht="14.25" customHeight="1">
      <c r="A728" s="2" t="s">
        <v>107</v>
      </c>
      <c r="B728" s="2" t="s">
        <v>71</v>
      </c>
      <c r="C728" s="2" t="s">
        <v>34</v>
      </c>
      <c r="D728" s="2">
        <v>1368.44062104048</v>
      </c>
      <c r="E728" s="2">
        <v>1.7425363592</v>
      </c>
      <c r="F728" s="2">
        <v>35199.03554280256</v>
      </c>
      <c r="G728" s="2">
        <v>10.05745501384</v>
      </c>
      <c r="H728" s="2">
        <v>0.18511420553288</v>
      </c>
    </row>
    <row r="729" ht="14.25" customHeight="1">
      <c r="A729" s="2" t="s">
        <v>107</v>
      </c>
      <c r="B729" s="2" t="s">
        <v>71</v>
      </c>
      <c r="C729" s="2" t="s">
        <v>35</v>
      </c>
      <c r="D729" s="2">
        <v>292.987996328832</v>
      </c>
      <c r="E729" s="2">
        <v>1.17112434768</v>
      </c>
      <c r="F729" s="2">
        <v>5656.730977183104</v>
      </c>
      <c r="G729" s="2">
        <v>3.512282624256</v>
      </c>
      <c r="H729" s="2">
        <v>0.006930553852992</v>
      </c>
    </row>
    <row r="730" ht="14.25" customHeight="1">
      <c r="A730" s="2" t="s">
        <v>107</v>
      </c>
      <c r="B730" s="2" t="s">
        <v>71</v>
      </c>
      <c r="C730" s="2" t="s">
        <v>36</v>
      </c>
      <c r="D730" s="2">
        <v>0.2748200598</v>
      </c>
      <c r="E730" s="2">
        <v>7.085205E-5</v>
      </c>
      <c r="F730" s="2">
        <v>4.38652350225</v>
      </c>
      <c r="G730" s="2">
        <v>0.006861503475</v>
      </c>
      <c r="H730" s="2">
        <v>7.360875E-5</v>
      </c>
    </row>
    <row r="731" ht="14.25" customHeight="1">
      <c r="A731" s="2" t="s">
        <v>107</v>
      </c>
      <c r="B731" s="2" t="s">
        <v>216</v>
      </c>
      <c r="C731" s="2" t="s">
        <v>34</v>
      </c>
      <c r="D731" s="2">
        <v>0.0</v>
      </c>
      <c r="E731" s="2">
        <v>0.0</v>
      </c>
      <c r="F731" s="2">
        <v>0.0</v>
      </c>
      <c r="G731" s="2">
        <v>0.0</v>
      </c>
      <c r="H731" s="2">
        <v>0.0</v>
      </c>
    </row>
    <row r="732" ht="14.25" customHeight="1">
      <c r="A732" s="2" t="s">
        <v>107</v>
      </c>
      <c r="B732" s="2" t="s">
        <v>216</v>
      </c>
      <c r="C732" s="2" t="s">
        <v>34</v>
      </c>
      <c r="D732" s="2">
        <v>0.0</v>
      </c>
      <c r="E732" s="2">
        <v>0.0</v>
      </c>
      <c r="F732" s="2">
        <v>0.0</v>
      </c>
      <c r="G732" s="2">
        <v>0.0</v>
      </c>
      <c r="H732" s="2">
        <v>0.0</v>
      </c>
    </row>
    <row r="733" ht="14.25" customHeight="1">
      <c r="A733" s="2" t="s">
        <v>107</v>
      </c>
      <c r="B733" s="2" t="s">
        <v>216</v>
      </c>
      <c r="C733" s="2" t="s">
        <v>34</v>
      </c>
      <c r="D733" s="2">
        <v>0.0</v>
      </c>
      <c r="E733" s="2">
        <v>0.0</v>
      </c>
      <c r="F733" s="2">
        <v>0.0</v>
      </c>
      <c r="G733" s="2">
        <v>0.0</v>
      </c>
      <c r="H733" s="2">
        <v>0.0</v>
      </c>
    </row>
    <row r="734" ht="14.25" customHeight="1">
      <c r="A734" s="2" t="s">
        <v>107</v>
      </c>
      <c r="B734" s="2" t="s">
        <v>216</v>
      </c>
      <c r="C734" s="2" t="s">
        <v>35</v>
      </c>
      <c r="D734" s="2">
        <v>0.0</v>
      </c>
      <c r="E734" s="2">
        <v>0.0</v>
      </c>
      <c r="F734" s="2">
        <v>0.0</v>
      </c>
      <c r="G734" s="2">
        <v>0.0</v>
      </c>
      <c r="H734" s="2">
        <v>0.0</v>
      </c>
    </row>
    <row r="735" ht="14.25" customHeight="1">
      <c r="A735" s="2" t="s">
        <v>107</v>
      </c>
      <c r="B735" s="2" t="s">
        <v>216</v>
      </c>
      <c r="C735" s="2" t="s">
        <v>36</v>
      </c>
      <c r="D735" s="2">
        <v>0.0</v>
      </c>
      <c r="E735" s="2">
        <v>0.0</v>
      </c>
      <c r="F735" s="2">
        <v>0.0</v>
      </c>
      <c r="G735" s="2">
        <v>0.0</v>
      </c>
      <c r="H735" s="2">
        <v>0.0</v>
      </c>
    </row>
    <row r="736" ht="14.25" customHeight="1">
      <c r="A736" s="2" t="s">
        <v>107</v>
      </c>
      <c r="B736" s="2" t="s">
        <v>71</v>
      </c>
      <c r="C736" s="2" t="s">
        <v>10</v>
      </c>
      <c r="D736" s="2">
        <v>4933.305062263992</v>
      </c>
      <c r="E736" s="2">
        <v>6.85908768413</v>
      </c>
      <c r="F736" s="2">
        <v>121816.7426624473</v>
      </c>
      <c r="G736" s="2">
        <v>35.453469114611</v>
      </c>
      <c r="H736" s="2">
        <v>0.592137043745152</v>
      </c>
    </row>
    <row r="737" ht="14.25" customHeight="1">
      <c r="A737" s="2" t="s">
        <v>107</v>
      </c>
      <c r="B737" s="2" t="s">
        <v>18</v>
      </c>
      <c r="C737" s="2" t="s">
        <v>82</v>
      </c>
      <c r="D737" s="2">
        <v>3.07011141</v>
      </c>
      <c r="E737" s="2">
        <v>0.00817965</v>
      </c>
      <c r="F737" s="2">
        <v>51.20517627</v>
      </c>
      <c r="G737" s="2">
        <v>0.0058239675</v>
      </c>
      <c r="H737" s="2">
        <v>1.976767875E-5</v>
      </c>
    </row>
    <row r="738" ht="14.25" customHeight="1">
      <c r="A738" s="2" t="s">
        <v>107</v>
      </c>
      <c r="B738" s="2" t="s">
        <v>218</v>
      </c>
      <c r="C738" s="2" t="s">
        <v>82</v>
      </c>
      <c r="D738" s="2">
        <v>0.0</v>
      </c>
      <c r="E738" s="2">
        <v>0.0</v>
      </c>
      <c r="F738" s="2">
        <v>0.0</v>
      </c>
      <c r="G738" s="2">
        <v>0.0</v>
      </c>
      <c r="H738" s="2">
        <v>0.0</v>
      </c>
    </row>
    <row r="739" ht="14.25" customHeight="1">
      <c r="A739" s="2" t="s">
        <v>107</v>
      </c>
      <c r="B739" s="2" t="s">
        <v>18</v>
      </c>
      <c r="C739" s="2" t="s">
        <v>10</v>
      </c>
      <c r="D739" s="2">
        <v>3.07011141</v>
      </c>
      <c r="E739" s="2">
        <v>0.00817965</v>
      </c>
      <c r="F739" s="2">
        <v>51.20517627</v>
      </c>
      <c r="G739" s="2">
        <v>0.0058239675</v>
      </c>
      <c r="H739" s="2">
        <v>1.976767875E-5</v>
      </c>
    </row>
    <row r="740" ht="14.25" customHeight="1">
      <c r="A740" s="2" t="s">
        <v>108</v>
      </c>
      <c r="B740" s="2" t="s">
        <v>9</v>
      </c>
      <c r="C740" s="2" t="s">
        <v>10</v>
      </c>
      <c r="D740" s="2">
        <v>0.0</v>
      </c>
      <c r="E740" s="2">
        <v>0.0</v>
      </c>
      <c r="F740" s="2">
        <v>0.0</v>
      </c>
      <c r="G740" s="2">
        <v>0.0</v>
      </c>
      <c r="H740" s="2">
        <v>0.0</v>
      </c>
    </row>
    <row r="741" ht="14.25" customHeight="1">
      <c r="A741" s="2" t="s">
        <v>108</v>
      </c>
      <c r="B741" s="2" t="s">
        <v>11</v>
      </c>
      <c r="C741" s="2" t="s">
        <v>12</v>
      </c>
      <c r="D741" s="2">
        <v>204.9327769380462</v>
      </c>
      <c r="E741" s="2">
        <v>0.05504509670346</v>
      </c>
      <c r="F741" s="2">
        <v>2683.61385727545</v>
      </c>
      <c r="G741" s="2">
        <v>1.4611748955336</v>
      </c>
      <c r="H741" s="2">
        <v>0.00660161353567824</v>
      </c>
    </row>
    <row r="742" ht="14.25" customHeight="1">
      <c r="A742" s="2" t="s">
        <v>108</v>
      </c>
      <c r="B742" s="2" t="s">
        <v>11</v>
      </c>
      <c r="C742" s="2" t="s">
        <v>12</v>
      </c>
      <c r="D742" s="2">
        <v>42.0246432328998</v>
      </c>
      <c r="E742" s="2">
        <v>0.08262605580834</v>
      </c>
      <c r="F742" s="2">
        <v>1177.96239267465</v>
      </c>
      <c r="G742" s="2">
        <v>0.3898216045944</v>
      </c>
      <c r="H742" s="2">
        <v>9.3894297318096E-4</v>
      </c>
    </row>
    <row r="743" ht="14.25" customHeight="1">
      <c r="A743" s="2" t="s">
        <v>108</v>
      </c>
      <c r="B743" s="2" t="s">
        <v>11</v>
      </c>
      <c r="C743" s="2" t="s">
        <v>12</v>
      </c>
      <c r="D743" s="2">
        <v>32.4747607363686</v>
      </c>
      <c r="E743" s="2">
        <v>0.1013384570445</v>
      </c>
      <c r="F743" s="2">
        <v>699.0350056670292</v>
      </c>
      <c r="G743" s="2">
        <v>0.3570512062338</v>
      </c>
      <c r="H743" s="2">
        <v>0.0018550921162761</v>
      </c>
    </row>
    <row r="744" ht="14.25" customHeight="1">
      <c r="A744" s="2" t="s">
        <v>108</v>
      </c>
      <c r="B744" s="2" t="s">
        <v>11</v>
      </c>
      <c r="C744" s="2" t="s">
        <v>13</v>
      </c>
      <c r="D744" s="2">
        <v>141.94224361584</v>
      </c>
      <c r="E744" s="2">
        <v>0.664578555498</v>
      </c>
      <c r="F744" s="2">
        <v>2794.3506694071</v>
      </c>
      <c r="G744" s="2">
        <v>2.536625166597</v>
      </c>
      <c r="H744" s="2">
        <v>0.041265333453033</v>
      </c>
    </row>
    <row r="745" ht="14.25" customHeight="1">
      <c r="A745" s="2" t="s">
        <v>108</v>
      </c>
      <c r="B745" s="2" t="s">
        <v>11</v>
      </c>
      <c r="C745" s="2" t="s">
        <v>14</v>
      </c>
      <c r="D745" s="2">
        <v>31.1034098681934</v>
      </c>
      <c r="E745" s="2">
        <v>0.0659712527315</v>
      </c>
      <c r="F745" s="2">
        <v>688.0486750641148</v>
      </c>
      <c r="G745" s="2">
        <v>0.4168488534872</v>
      </c>
      <c r="H745" s="2">
        <v>0.0016751362630224</v>
      </c>
    </row>
    <row r="746" ht="14.25" customHeight="1">
      <c r="A746" s="2" t="s">
        <v>108</v>
      </c>
      <c r="B746" s="2" t="s">
        <v>11</v>
      </c>
      <c r="C746" s="2" t="s">
        <v>15</v>
      </c>
      <c r="D746" s="2">
        <v>3.959598220908</v>
      </c>
      <c r="E746" s="2">
        <v>0.32772153782</v>
      </c>
      <c r="F746" s="2">
        <v>79.965060943876</v>
      </c>
      <c r="G746" s="2">
        <v>0.100912521079</v>
      </c>
      <c r="H746" s="2">
        <v>2.270939705105E-4</v>
      </c>
    </row>
    <row r="747" ht="14.25" customHeight="1">
      <c r="A747" s="2" t="s">
        <v>108</v>
      </c>
      <c r="B747" s="2" t="s">
        <v>11</v>
      </c>
      <c r="C747" s="2" t="s">
        <v>12</v>
      </c>
      <c r="D747" s="2">
        <v>21.608278073</v>
      </c>
      <c r="E747" s="2">
        <v>0.04024790056</v>
      </c>
      <c r="F747" s="2">
        <v>645.5425895231</v>
      </c>
      <c r="G747" s="2">
        <v>0.22592287832</v>
      </c>
      <c r="H747" s="2">
        <v>5.37626679E-4</v>
      </c>
    </row>
    <row r="748" ht="14.25" customHeight="1">
      <c r="A748" s="2" t="s">
        <v>108</v>
      </c>
      <c r="B748" s="2" t="s">
        <v>11</v>
      </c>
      <c r="C748" s="2" t="s">
        <v>16</v>
      </c>
      <c r="D748" s="2">
        <v>42.606675978048</v>
      </c>
      <c r="E748" s="2">
        <v>0.55994115996</v>
      </c>
      <c r="F748" s="2">
        <v>1112.033088820836</v>
      </c>
      <c r="G748" s="2">
        <v>5.559164795021292</v>
      </c>
      <c r="H748" s="2">
        <v>0.4968763265461905</v>
      </c>
    </row>
    <row r="749" ht="14.25" customHeight="1">
      <c r="A749" s="2" t="s">
        <v>108</v>
      </c>
      <c r="B749" s="2" t="s">
        <v>11</v>
      </c>
      <c r="C749" s="2" t="s">
        <v>17</v>
      </c>
      <c r="D749" s="2">
        <v>13.460612607</v>
      </c>
      <c r="E749" s="2">
        <v>0.03271469019</v>
      </c>
      <c r="F749" s="2">
        <v>357.5797454515</v>
      </c>
      <c r="G749" s="2">
        <v>0.262050307025</v>
      </c>
      <c r="H749" s="2">
        <v>9.922251599E-4</v>
      </c>
    </row>
    <row r="750" ht="14.25" customHeight="1">
      <c r="A750" s="2" t="s">
        <v>108</v>
      </c>
      <c r="B750" s="2" t="s">
        <v>208</v>
      </c>
      <c r="C750" s="2" t="s">
        <v>12</v>
      </c>
      <c r="D750" s="2">
        <v>0.0</v>
      </c>
      <c r="E750" s="2">
        <v>0.0</v>
      </c>
      <c r="F750" s="2">
        <v>0.0</v>
      </c>
      <c r="G750" s="2">
        <v>0.0</v>
      </c>
      <c r="H750" s="2">
        <v>0.0</v>
      </c>
    </row>
    <row r="751" ht="14.25" customHeight="1">
      <c r="A751" s="2" t="s">
        <v>108</v>
      </c>
      <c r="B751" s="2" t="s">
        <v>208</v>
      </c>
      <c r="C751" s="2" t="s">
        <v>12</v>
      </c>
      <c r="D751" s="2">
        <v>0.0</v>
      </c>
      <c r="E751" s="2">
        <v>0.0</v>
      </c>
      <c r="F751" s="2">
        <v>0.0</v>
      </c>
      <c r="G751" s="2">
        <v>0.0</v>
      </c>
      <c r="H751" s="2">
        <v>0.0</v>
      </c>
    </row>
    <row r="752" ht="14.25" customHeight="1">
      <c r="A752" s="2" t="s">
        <v>108</v>
      </c>
      <c r="B752" s="2" t="s">
        <v>208</v>
      </c>
      <c r="C752" s="2" t="s">
        <v>12</v>
      </c>
      <c r="D752" s="2">
        <v>0.0</v>
      </c>
      <c r="E752" s="2">
        <v>0.0</v>
      </c>
      <c r="F752" s="2">
        <v>0.0</v>
      </c>
      <c r="G752" s="2">
        <v>0.0</v>
      </c>
      <c r="H752" s="2">
        <v>0.0</v>
      </c>
    </row>
    <row r="753" ht="14.25" customHeight="1">
      <c r="A753" s="2" t="s">
        <v>108</v>
      </c>
      <c r="B753" s="2" t="s">
        <v>208</v>
      </c>
      <c r="C753" s="2" t="s">
        <v>13</v>
      </c>
      <c r="D753" s="2">
        <v>0.0</v>
      </c>
      <c r="E753" s="2">
        <v>0.0</v>
      </c>
      <c r="F753" s="2">
        <v>0.0</v>
      </c>
      <c r="G753" s="2">
        <v>0.0</v>
      </c>
      <c r="H753" s="2">
        <v>0.0</v>
      </c>
    </row>
    <row r="754" ht="14.25" customHeight="1">
      <c r="A754" s="2" t="s">
        <v>108</v>
      </c>
      <c r="B754" s="2" t="s">
        <v>208</v>
      </c>
      <c r="C754" s="2" t="s">
        <v>14</v>
      </c>
      <c r="D754" s="2">
        <v>0.0</v>
      </c>
      <c r="E754" s="2">
        <v>0.0</v>
      </c>
      <c r="F754" s="2">
        <v>0.0</v>
      </c>
      <c r="G754" s="2">
        <v>0.0</v>
      </c>
      <c r="H754" s="2">
        <v>0.0</v>
      </c>
    </row>
    <row r="755" ht="14.25" customHeight="1">
      <c r="A755" s="2" t="s">
        <v>108</v>
      </c>
      <c r="B755" s="2" t="s">
        <v>208</v>
      </c>
      <c r="C755" s="2" t="s">
        <v>15</v>
      </c>
      <c r="D755" s="2">
        <v>0.0</v>
      </c>
      <c r="E755" s="2">
        <v>0.0</v>
      </c>
      <c r="F755" s="2">
        <v>0.0</v>
      </c>
      <c r="G755" s="2">
        <v>0.0</v>
      </c>
      <c r="H755" s="2">
        <v>0.0</v>
      </c>
    </row>
    <row r="756" ht="14.25" customHeight="1">
      <c r="A756" s="2" t="s">
        <v>108</v>
      </c>
      <c r="B756" s="2" t="s">
        <v>208</v>
      </c>
      <c r="C756" s="2" t="s">
        <v>12</v>
      </c>
      <c r="D756" s="2">
        <v>0.0</v>
      </c>
      <c r="E756" s="2">
        <v>0.0</v>
      </c>
      <c r="F756" s="2">
        <v>0.0</v>
      </c>
      <c r="G756" s="2">
        <v>0.0</v>
      </c>
      <c r="H756" s="2">
        <v>0.0</v>
      </c>
    </row>
    <row r="757" ht="14.25" customHeight="1">
      <c r="A757" s="2" t="s">
        <v>108</v>
      </c>
      <c r="B757" s="2" t="s">
        <v>208</v>
      </c>
      <c r="C757" s="2" t="s">
        <v>16</v>
      </c>
      <c r="D757" s="2">
        <v>0.0</v>
      </c>
      <c r="E757" s="2">
        <v>0.0</v>
      </c>
      <c r="F757" s="2">
        <v>0.0</v>
      </c>
      <c r="G757" s="2">
        <v>0.0</v>
      </c>
      <c r="H757" s="2">
        <v>0.0</v>
      </c>
    </row>
    <row r="758" ht="14.25" customHeight="1">
      <c r="A758" s="2" t="s">
        <v>108</v>
      </c>
      <c r="B758" s="2" t="s">
        <v>208</v>
      </c>
      <c r="C758" s="2" t="s">
        <v>17</v>
      </c>
      <c r="D758" s="2">
        <v>0.0</v>
      </c>
      <c r="E758" s="2">
        <v>0.0</v>
      </c>
      <c r="F758" s="2">
        <v>0.0</v>
      </c>
      <c r="G758" s="2">
        <v>0.0</v>
      </c>
      <c r="H758" s="2">
        <v>0.0</v>
      </c>
    </row>
    <row r="759" ht="14.25" customHeight="1">
      <c r="A759" s="2" t="s">
        <v>108</v>
      </c>
      <c r="B759" s="2" t="s">
        <v>11</v>
      </c>
      <c r="C759" s="2" t="s">
        <v>10</v>
      </c>
      <c r="D759" s="2">
        <v>534.112999270304</v>
      </c>
      <c r="E759" s="2">
        <v>1.9301847063158</v>
      </c>
      <c r="F759" s="2">
        <v>10238.13108482766</v>
      </c>
      <c r="G759" s="2">
        <v>11.30957222789129</v>
      </c>
      <c r="H759" s="2">
        <v>0.5509693906967917</v>
      </c>
    </row>
    <row r="760" ht="14.25" customHeight="1">
      <c r="A760" s="2" t="s">
        <v>108</v>
      </c>
      <c r="B760" s="2" t="s">
        <v>18</v>
      </c>
      <c r="C760" s="2" t="s">
        <v>10</v>
      </c>
      <c r="D760" s="2">
        <v>0.0</v>
      </c>
      <c r="E760" s="2">
        <v>0.0</v>
      </c>
      <c r="F760" s="2">
        <v>0.0</v>
      </c>
      <c r="G760" s="2">
        <v>0.0</v>
      </c>
      <c r="H760" s="2">
        <v>0.0</v>
      </c>
    </row>
    <row r="761" ht="14.25" customHeight="1">
      <c r="A761" s="2" t="s">
        <v>109</v>
      </c>
      <c r="B761" s="2" t="s">
        <v>80</v>
      </c>
      <c r="C761" s="2" t="s">
        <v>81</v>
      </c>
      <c r="D761" s="2">
        <v>395.7957310957542</v>
      </c>
      <c r="E761" s="2">
        <v>3.828611591884424</v>
      </c>
      <c r="F761" s="2">
        <v>5174.219166667899</v>
      </c>
      <c r="G761" s="2">
        <v>2.457505378842746</v>
      </c>
      <c r="H761" s="2">
        <v>0.009778123020057171</v>
      </c>
    </row>
    <row r="762" ht="14.25" customHeight="1">
      <c r="A762" s="2" t="s">
        <v>109</v>
      </c>
      <c r="B762" s="2" t="s">
        <v>80</v>
      </c>
      <c r="C762" s="2" t="s">
        <v>81</v>
      </c>
      <c r="D762" s="2">
        <v>2.9867288448078</v>
      </c>
      <c r="E762" s="2">
        <v>0.014700041914495</v>
      </c>
      <c r="F762" s="2">
        <v>74.95712252178467</v>
      </c>
      <c r="G762" s="2">
        <v>0.037592765428135</v>
      </c>
      <c r="H762" s="2">
        <v>1.0804158801272E-4</v>
      </c>
    </row>
    <row r="763" ht="14.25" customHeight="1">
      <c r="A763" s="2" t="s">
        <v>109</v>
      </c>
      <c r="B763" s="2" t="s">
        <v>80</v>
      </c>
      <c r="C763" s="2" t="s">
        <v>81</v>
      </c>
      <c r="D763" s="2">
        <v>11450.2671179504</v>
      </c>
      <c r="E763" s="2">
        <v>1057.506431647</v>
      </c>
      <c r="F763" s="2">
        <v>195679.566487992</v>
      </c>
      <c r="G763" s="2">
        <v>132.197965549292</v>
      </c>
      <c r="H763" s="2">
        <v>0.517101170488</v>
      </c>
    </row>
    <row r="764" ht="14.25" customHeight="1">
      <c r="A764" s="2" t="s">
        <v>109</v>
      </c>
      <c r="B764" s="2" t="s">
        <v>80</v>
      </c>
      <c r="C764" s="2" t="s">
        <v>16</v>
      </c>
      <c r="D764" s="2">
        <v>32.85073225602</v>
      </c>
      <c r="E764" s="2">
        <v>0.430835122242</v>
      </c>
      <c r="F764" s="2">
        <v>855.47828813076</v>
      </c>
      <c r="G764" s="2">
        <v>4.27597133258484</v>
      </c>
      <c r="H764" s="2">
        <v>0.382212137988828</v>
      </c>
    </row>
    <row r="765" ht="14.25" customHeight="1">
      <c r="A765" s="2" t="s">
        <v>109</v>
      </c>
      <c r="B765" s="2" t="s">
        <v>80</v>
      </c>
      <c r="C765" s="2" t="s">
        <v>17</v>
      </c>
      <c r="D765" s="2">
        <v>10.35431739</v>
      </c>
      <c r="E765" s="2">
        <v>0.0251651463</v>
      </c>
      <c r="F765" s="2">
        <v>275.061342655</v>
      </c>
      <c r="G765" s="2">
        <v>0.20157715925</v>
      </c>
      <c r="H765" s="2">
        <v>7.63250123E-4</v>
      </c>
    </row>
    <row r="766" ht="14.25" customHeight="1">
      <c r="A766" s="2" t="s">
        <v>109</v>
      </c>
      <c r="B766" s="2" t="s">
        <v>217</v>
      </c>
      <c r="C766" s="2" t="s">
        <v>81</v>
      </c>
      <c r="D766" s="2">
        <v>0.0</v>
      </c>
      <c r="E766" s="2">
        <v>0.0</v>
      </c>
      <c r="F766" s="2">
        <v>0.0</v>
      </c>
      <c r="G766" s="2">
        <v>0.0</v>
      </c>
      <c r="H766" s="2">
        <v>0.0</v>
      </c>
    </row>
    <row r="767" ht="14.25" customHeight="1">
      <c r="A767" s="2" t="s">
        <v>109</v>
      </c>
      <c r="B767" s="2" t="s">
        <v>217</v>
      </c>
      <c r="C767" s="2" t="s">
        <v>81</v>
      </c>
      <c r="D767" s="2">
        <v>0.0</v>
      </c>
      <c r="E767" s="2">
        <v>0.0</v>
      </c>
      <c r="F767" s="2">
        <v>0.0</v>
      </c>
      <c r="G767" s="2">
        <v>0.0</v>
      </c>
      <c r="H767" s="2">
        <v>0.0</v>
      </c>
    </row>
    <row r="768" ht="14.25" customHeight="1">
      <c r="A768" s="2" t="s">
        <v>109</v>
      </c>
      <c r="B768" s="2" t="s">
        <v>217</v>
      </c>
      <c r="C768" s="2" t="s">
        <v>81</v>
      </c>
      <c r="D768" s="2">
        <v>0.0</v>
      </c>
      <c r="E768" s="2">
        <v>0.0</v>
      </c>
      <c r="F768" s="2">
        <v>0.0</v>
      </c>
      <c r="G768" s="2">
        <v>0.0</v>
      </c>
      <c r="H768" s="2">
        <v>0.0</v>
      </c>
    </row>
    <row r="769" ht="14.25" customHeight="1">
      <c r="A769" s="2" t="s">
        <v>109</v>
      </c>
      <c r="B769" s="2" t="s">
        <v>217</v>
      </c>
      <c r="C769" s="2" t="s">
        <v>16</v>
      </c>
      <c r="D769" s="2">
        <v>0.0</v>
      </c>
      <c r="E769" s="2">
        <v>0.0</v>
      </c>
      <c r="F769" s="2">
        <v>0.0</v>
      </c>
      <c r="G769" s="2">
        <v>0.0</v>
      </c>
      <c r="H769" s="2">
        <v>0.0</v>
      </c>
    </row>
    <row r="770" ht="14.25" customHeight="1">
      <c r="A770" s="2" t="s">
        <v>109</v>
      </c>
      <c r="B770" s="2" t="s">
        <v>217</v>
      </c>
      <c r="C770" s="2" t="s">
        <v>17</v>
      </c>
      <c r="D770" s="2">
        <v>0.0</v>
      </c>
      <c r="E770" s="2">
        <v>0.0</v>
      </c>
      <c r="F770" s="2">
        <v>0.0</v>
      </c>
      <c r="G770" s="2">
        <v>0.0</v>
      </c>
      <c r="H770" s="2">
        <v>0.0</v>
      </c>
    </row>
    <row r="771" ht="14.25" customHeight="1">
      <c r="A771" s="2" t="s">
        <v>109</v>
      </c>
      <c r="B771" s="2" t="s">
        <v>80</v>
      </c>
      <c r="C771" s="2" t="s">
        <v>10</v>
      </c>
      <c r="D771" s="2">
        <v>11892.25462753698</v>
      </c>
      <c r="E771" s="2">
        <v>1061.805743549341</v>
      </c>
      <c r="F771" s="2">
        <v>202059.2824079674</v>
      </c>
      <c r="G771" s="2">
        <v>139.1706121853977</v>
      </c>
      <c r="H771" s="2">
        <v>0.9099627232078978</v>
      </c>
    </row>
    <row r="772" ht="14.25" customHeight="1">
      <c r="A772" s="2" t="s">
        <v>109</v>
      </c>
      <c r="B772" s="2" t="s">
        <v>18</v>
      </c>
      <c r="C772" s="2" t="s">
        <v>110</v>
      </c>
      <c r="D772" s="2">
        <v>2.034012</v>
      </c>
      <c r="E772" s="2">
        <v>0.0171096</v>
      </c>
      <c r="F772" s="2">
        <v>48.7426772</v>
      </c>
      <c r="G772" s="2">
        <v>0.029020714</v>
      </c>
      <c r="H772" s="2">
        <v>4.6015E-4</v>
      </c>
    </row>
    <row r="773" ht="14.25" customHeight="1">
      <c r="A773" s="2" t="s">
        <v>109</v>
      </c>
      <c r="B773" s="2" t="s">
        <v>18</v>
      </c>
      <c r="C773" s="2" t="s">
        <v>82</v>
      </c>
      <c r="D773" s="2">
        <v>16.11333276</v>
      </c>
      <c r="E773" s="2">
        <v>0.005899909</v>
      </c>
      <c r="F773" s="2">
        <v>241.372886092</v>
      </c>
      <c r="G773" s="2">
        <v>0.007278566</v>
      </c>
      <c r="H773" s="2">
        <v>2.2888348E-5</v>
      </c>
    </row>
    <row r="774" ht="14.25" customHeight="1">
      <c r="A774" s="2" t="s">
        <v>109</v>
      </c>
      <c r="B774" s="2" t="s">
        <v>218</v>
      </c>
      <c r="C774" s="2" t="s">
        <v>110</v>
      </c>
      <c r="D774" s="2">
        <v>0.0</v>
      </c>
      <c r="E774" s="2">
        <v>0.0</v>
      </c>
      <c r="F774" s="2">
        <v>0.0</v>
      </c>
      <c r="G774" s="2">
        <v>0.0</v>
      </c>
      <c r="H774" s="2">
        <v>0.0</v>
      </c>
    </row>
    <row r="775" ht="14.25" customHeight="1">
      <c r="A775" s="2" t="s">
        <v>109</v>
      </c>
      <c r="B775" s="2" t="s">
        <v>218</v>
      </c>
      <c r="C775" s="2" t="s">
        <v>82</v>
      </c>
      <c r="D775" s="2">
        <v>0.0</v>
      </c>
      <c r="E775" s="2">
        <v>0.0</v>
      </c>
      <c r="F775" s="2">
        <v>0.0</v>
      </c>
      <c r="G775" s="2">
        <v>0.0</v>
      </c>
      <c r="H775" s="2">
        <v>0.0</v>
      </c>
    </row>
    <row r="776" ht="14.25" customHeight="1">
      <c r="A776" s="2" t="s">
        <v>109</v>
      </c>
      <c r="B776" s="2" t="s">
        <v>18</v>
      </c>
      <c r="C776" s="2" t="s">
        <v>10</v>
      </c>
      <c r="D776" s="2">
        <v>18.14734476</v>
      </c>
      <c r="E776" s="2">
        <v>0.023009509</v>
      </c>
      <c r="F776" s="2">
        <v>290.115563292</v>
      </c>
      <c r="G776" s="2">
        <v>0.03629928</v>
      </c>
      <c r="H776" s="2">
        <v>4.83038348E-4</v>
      </c>
    </row>
    <row r="777" ht="14.25" customHeight="1">
      <c r="A777" s="2" t="s">
        <v>111</v>
      </c>
      <c r="B777" s="2" t="s">
        <v>21</v>
      </c>
      <c r="C777" s="2" t="s">
        <v>10</v>
      </c>
      <c r="D777" s="2">
        <v>0.0</v>
      </c>
      <c r="E777" s="2">
        <v>0.0</v>
      </c>
      <c r="F777" s="2">
        <v>0.0</v>
      </c>
      <c r="G777" s="2">
        <v>0.0</v>
      </c>
      <c r="H777" s="2">
        <v>0.0</v>
      </c>
    </row>
    <row r="778" ht="14.25" customHeight="1">
      <c r="A778" s="2" t="s">
        <v>111</v>
      </c>
      <c r="B778" s="2" t="s">
        <v>22</v>
      </c>
      <c r="C778" s="2" t="s">
        <v>10</v>
      </c>
      <c r="D778" s="2">
        <v>0.0</v>
      </c>
      <c r="E778" s="2">
        <v>0.0</v>
      </c>
      <c r="F778" s="2">
        <v>0.0</v>
      </c>
      <c r="G778" s="2">
        <v>0.0</v>
      </c>
      <c r="H778" s="2">
        <v>0.0</v>
      </c>
    </row>
    <row r="779" ht="14.25" customHeight="1">
      <c r="A779" s="2" t="s">
        <v>111</v>
      </c>
      <c r="B779" s="2" t="s">
        <v>23</v>
      </c>
      <c r="C779" s="2" t="s">
        <v>24</v>
      </c>
      <c r="D779" s="2">
        <v>29.0696174459712</v>
      </c>
      <c r="E779" s="2">
        <v>0.037039535616</v>
      </c>
      <c r="F779" s="2">
        <v>747.5789721596065</v>
      </c>
      <c r="G779" s="2">
        <v>0.2135589403416</v>
      </c>
      <c r="H779" s="2">
        <v>0.0039302236717572</v>
      </c>
    </row>
    <row r="780" ht="14.25" customHeight="1">
      <c r="A780" s="2" t="s">
        <v>111</v>
      </c>
      <c r="B780" s="2" t="s">
        <v>23</v>
      </c>
      <c r="C780" s="2" t="s">
        <v>25</v>
      </c>
      <c r="D780" s="2">
        <v>1.1123472047744</v>
      </c>
      <c r="E780" s="2">
        <v>0.003784113984</v>
      </c>
      <c r="F780" s="2">
        <v>22.4635271779968</v>
      </c>
      <c r="G780" s="2">
        <v>0.0142574257952</v>
      </c>
      <c r="H780" s="2">
        <v>2.76631980464E-5</v>
      </c>
    </row>
    <row r="781" ht="14.25" customHeight="1">
      <c r="A781" s="2" t="s">
        <v>111</v>
      </c>
      <c r="B781" s="2" t="s">
        <v>23</v>
      </c>
      <c r="C781" s="2" t="s">
        <v>25</v>
      </c>
      <c r="D781" s="2">
        <v>2.3165915861816</v>
      </c>
      <c r="E781" s="2">
        <v>0.006687657342456</v>
      </c>
      <c r="F781" s="2">
        <v>56.70898720712533</v>
      </c>
      <c r="G781" s="2">
        <v>0.028810884395928</v>
      </c>
      <c r="H781" s="2">
        <v>5.459101847536E-5</v>
      </c>
    </row>
    <row r="782" ht="14.25" customHeight="1">
      <c r="A782" s="2" t="s">
        <v>111</v>
      </c>
      <c r="B782" s="2" t="s">
        <v>23</v>
      </c>
      <c r="C782" s="2" t="s">
        <v>31</v>
      </c>
      <c r="D782" s="2">
        <v>7.08861295939616</v>
      </c>
      <c r="E782" s="2">
        <v>0.0032177251104</v>
      </c>
      <c r="F782" s="2">
        <v>94.07007417625952</v>
      </c>
      <c r="G782" s="2">
        <v>0.05297602937528</v>
      </c>
      <c r="H782" s="2">
        <v>2.3096317765196E-4</v>
      </c>
    </row>
    <row r="783" ht="14.25" customHeight="1">
      <c r="A783" s="2" t="s">
        <v>111</v>
      </c>
      <c r="B783" s="2" t="s">
        <v>23</v>
      </c>
      <c r="C783" s="2" t="s">
        <v>31</v>
      </c>
      <c r="D783" s="2">
        <v>1.965008517613225</v>
      </c>
      <c r="E783" s="2">
        <v>6.640973685504E-4</v>
      </c>
      <c r="F783" s="2">
        <v>39.43244928934222</v>
      </c>
      <c r="G783" s="2">
        <v>0.02142813109776768</v>
      </c>
      <c r="H783" s="2">
        <v>4.805065476374976E-5</v>
      </c>
    </row>
    <row r="784" ht="14.25" customHeight="1">
      <c r="A784" s="2" t="s">
        <v>111</v>
      </c>
      <c r="B784" s="2" t="s">
        <v>23</v>
      </c>
      <c r="C784" s="2" t="s">
        <v>32</v>
      </c>
      <c r="D784" s="2">
        <v>69.38966006784</v>
      </c>
      <c r="E784" s="2">
        <v>0.2189666976</v>
      </c>
      <c r="F784" s="2">
        <v>1841.6157509568</v>
      </c>
      <c r="G784" s="2">
        <v>1.1923955136</v>
      </c>
      <c r="H784" s="2">
        <v>0.00576689856</v>
      </c>
    </row>
    <row r="785" ht="14.25" customHeight="1">
      <c r="A785" s="2" t="s">
        <v>111</v>
      </c>
      <c r="B785" s="2" t="s">
        <v>23</v>
      </c>
      <c r="C785" s="2" t="s">
        <v>26</v>
      </c>
      <c r="D785" s="2">
        <v>770.97164427624</v>
      </c>
      <c r="E785" s="2">
        <v>1.918003581495</v>
      </c>
      <c r="F785" s="2">
        <v>18326.2789907601</v>
      </c>
      <c r="G785" s="2">
        <v>13.25552842785</v>
      </c>
      <c r="H785" s="2">
        <v>0.051563807226</v>
      </c>
    </row>
    <row r="786" ht="14.25" customHeight="1">
      <c r="A786" s="2" t="s">
        <v>111</v>
      </c>
      <c r="B786" s="2" t="s">
        <v>209</v>
      </c>
      <c r="C786" s="2" t="s">
        <v>24</v>
      </c>
      <c r="D786" s="2">
        <v>0.0</v>
      </c>
      <c r="E786" s="2">
        <v>0.0</v>
      </c>
      <c r="F786" s="2">
        <v>0.0</v>
      </c>
      <c r="G786" s="2">
        <v>0.0</v>
      </c>
      <c r="H786" s="2">
        <v>0.0</v>
      </c>
    </row>
    <row r="787" ht="14.25" customHeight="1">
      <c r="A787" s="2" t="s">
        <v>111</v>
      </c>
      <c r="B787" s="2" t="s">
        <v>209</v>
      </c>
      <c r="C787" s="2" t="s">
        <v>25</v>
      </c>
      <c r="D787" s="2">
        <v>0.0</v>
      </c>
      <c r="E787" s="2">
        <v>0.0</v>
      </c>
      <c r="F787" s="2">
        <v>0.0</v>
      </c>
      <c r="G787" s="2">
        <v>0.0</v>
      </c>
      <c r="H787" s="2">
        <v>0.0</v>
      </c>
    </row>
    <row r="788" ht="14.25" customHeight="1">
      <c r="A788" s="2" t="s">
        <v>111</v>
      </c>
      <c r="B788" s="2" t="s">
        <v>209</v>
      </c>
      <c r="C788" s="2" t="s">
        <v>25</v>
      </c>
      <c r="D788" s="2">
        <v>0.0</v>
      </c>
      <c r="E788" s="2">
        <v>0.0</v>
      </c>
      <c r="F788" s="2">
        <v>0.0</v>
      </c>
      <c r="G788" s="2">
        <v>0.0</v>
      </c>
      <c r="H788" s="2">
        <v>0.0</v>
      </c>
    </row>
    <row r="789" ht="14.25" customHeight="1">
      <c r="A789" s="2" t="s">
        <v>111</v>
      </c>
      <c r="B789" s="2" t="s">
        <v>209</v>
      </c>
      <c r="C789" s="2" t="s">
        <v>31</v>
      </c>
      <c r="D789" s="2">
        <v>0.0</v>
      </c>
      <c r="E789" s="2">
        <v>0.0</v>
      </c>
      <c r="F789" s="2">
        <v>0.0</v>
      </c>
      <c r="G789" s="2">
        <v>0.0</v>
      </c>
      <c r="H789" s="2">
        <v>0.0</v>
      </c>
    </row>
    <row r="790" ht="14.25" customHeight="1">
      <c r="A790" s="2" t="s">
        <v>111</v>
      </c>
      <c r="B790" s="2" t="s">
        <v>209</v>
      </c>
      <c r="C790" s="2" t="s">
        <v>31</v>
      </c>
      <c r="D790" s="2">
        <v>0.0</v>
      </c>
      <c r="E790" s="2">
        <v>0.0</v>
      </c>
      <c r="F790" s="2">
        <v>0.0</v>
      </c>
      <c r="G790" s="2">
        <v>0.0</v>
      </c>
      <c r="H790" s="2">
        <v>0.0</v>
      </c>
    </row>
    <row r="791" ht="14.25" customHeight="1">
      <c r="A791" s="2" t="s">
        <v>111</v>
      </c>
      <c r="B791" s="2" t="s">
        <v>209</v>
      </c>
      <c r="C791" s="2" t="s">
        <v>32</v>
      </c>
      <c r="D791" s="2">
        <v>0.0</v>
      </c>
      <c r="E791" s="2">
        <v>0.0</v>
      </c>
      <c r="F791" s="2">
        <v>0.0</v>
      </c>
      <c r="G791" s="2">
        <v>0.0</v>
      </c>
      <c r="H791" s="2">
        <v>0.0</v>
      </c>
    </row>
    <row r="792" ht="14.25" customHeight="1">
      <c r="A792" s="2" t="s">
        <v>111</v>
      </c>
      <c r="B792" s="2" t="s">
        <v>209</v>
      </c>
      <c r="C792" s="2" t="s">
        <v>26</v>
      </c>
      <c r="D792" s="2">
        <v>0.0</v>
      </c>
      <c r="E792" s="2">
        <v>0.0</v>
      </c>
      <c r="F792" s="2">
        <v>0.0</v>
      </c>
      <c r="G792" s="2">
        <v>0.0</v>
      </c>
      <c r="H792" s="2">
        <v>0.0</v>
      </c>
    </row>
    <row r="793" ht="14.25" customHeight="1">
      <c r="A793" s="2" t="s">
        <v>111</v>
      </c>
      <c r="B793" s="2" t="s">
        <v>23</v>
      </c>
      <c r="C793" s="2" t="s">
        <v>10</v>
      </c>
      <c r="D793" s="2">
        <v>881.9134820580166</v>
      </c>
      <c r="E793" s="2">
        <v>2.188363408516406</v>
      </c>
      <c r="F793" s="2">
        <v>21128.14875172723</v>
      </c>
      <c r="G793" s="2">
        <v>14.77895535245578</v>
      </c>
      <c r="H793" s="2">
        <v>0.06162219750669467</v>
      </c>
    </row>
    <row r="794" ht="14.25" customHeight="1">
      <c r="A794" s="2" t="s">
        <v>111</v>
      </c>
      <c r="B794" s="2" t="s">
        <v>29</v>
      </c>
      <c r="C794" s="2" t="s">
        <v>10</v>
      </c>
      <c r="D794" s="2">
        <v>0.0</v>
      </c>
      <c r="E794" s="2">
        <v>0.0</v>
      </c>
      <c r="F794" s="2">
        <v>0.0</v>
      </c>
      <c r="G794" s="2">
        <v>0.0</v>
      </c>
      <c r="H794" s="2">
        <v>0.0</v>
      </c>
    </row>
    <row r="795" ht="14.25" customHeight="1">
      <c r="A795" s="2" t="s">
        <v>111</v>
      </c>
      <c r="B795" s="2" t="s">
        <v>18</v>
      </c>
      <c r="C795" s="2" t="s">
        <v>10</v>
      </c>
      <c r="D795" s="2">
        <v>0.0</v>
      </c>
      <c r="E795" s="2">
        <v>0.0</v>
      </c>
      <c r="F795" s="2">
        <v>0.0</v>
      </c>
      <c r="G795" s="2">
        <v>0.0</v>
      </c>
      <c r="H795" s="2">
        <v>0.0</v>
      </c>
    </row>
    <row r="796" ht="14.25" customHeight="1">
      <c r="A796" s="2" t="s">
        <v>112</v>
      </c>
      <c r="B796" s="2" t="s">
        <v>21</v>
      </c>
      <c r="C796" s="2" t="s">
        <v>42</v>
      </c>
      <c r="D796" s="2">
        <v>0.0</v>
      </c>
      <c r="E796" s="2">
        <v>0.0</v>
      </c>
      <c r="F796" s="2">
        <v>0.0</v>
      </c>
      <c r="G796" s="2">
        <v>0.0</v>
      </c>
      <c r="H796" s="2">
        <v>0.0</v>
      </c>
    </row>
    <row r="797" ht="14.25" customHeight="1">
      <c r="A797" s="2" t="s">
        <v>112</v>
      </c>
      <c r="B797" s="2" t="s">
        <v>21</v>
      </c>
      <c r="C797" s="2" t="s">
        <v>41</v>
      </c>
      <c r="D797" s="2">
        <v>0.0</v>
      </c>
      <c r="E797" s="2">
        <v>0.0</v>
      </c>
      <c r="F797" s="2">
        <v>0.0</v>
      </c>
      <c r="G797" s="2">
        <v>0.0</v>
      </c>
      <c r="H797" s="2">
        <v>0.0</v>
      </c>
    </row>
    <row r="798" ht="14.25" customHeight="1">
      <c r="A798" s="2" t="s">
        <v>112</v>
      </c>
      <c r="B798" s="2" t="s">
        <v>21</v>
      </c>
      <c r="C798" s="2" t="s">
        <v>43</v>
      </c>
      <c r="D798" s="2">
        <v>0.0</v>
      </c>
      <c r="E798" s="2">
        <v>0.0</v>
      </c>
      <c r="F798" s="2">
        <v>0.0</v>
      </c>
      <c r="G798" s="2">
        <v>0.0</v>
      </c>
      <c r="H798" s="2">
        <v>0.0</v>
      </c>
    </row>
    <row r="799" ht="14.25" customHeight="1">
      <c r="A799" s="2" t="s">
        <v>112</v>
      </c>
      <c r="B799" s="2" t="s">
        <v>21</v>
      </c>
      <c r="C799" s="2" t="s">
        <v>59</v>
      </c>
      <c r="D799" s="2">
        <v>0.0</v>
      </c>
      <c r="E799" s="2">
        <v>0.0</v>
      </c>
      <c r="F799" s="2">
        <v>0.0</v>
      </c>
      <c r="G799" s="2">
        <v>0.0</v>
      </c>
      <c r="H799" s="2">
        <v>0.0</v>
      </c>
    </row>
    <row r="800" ht="14.25" customHeight="1">
      <c r="A800" s="2" t="s">
        <v>112</v>
      </c>
      <c r="B800" s="2" t="s">
        <v>212</v>
      </c>
      <c r="C800" s="2" t="s">
        <v>42</v>
      </c>
      <c r="D800" s="2">
        <v>0.0</v>
      </c>
      <c r="E800" s="2">
        <v>0.0</v>
      </c>
      <c r="F800" s="2">
        <v>0.0</v>
      </c>
      <c r="G800" s="2">
        <v>0.0</v>
      </c>
      <c r="H800" s="2">
        <v>0.0</v>
      </c>
    </row>
    <row r="801" ht="14.25" customHeight="1">
      <c r="A801" s="2" t="s">
        <v>112</v>
      </c>
      <c r="B801" s="2" t="s">
        <v>212</v>
      </c>
      <c r="C801" s="2" t="s">
        <v>41</v>
      </c>
      <c r="D801" s="2">
        <v>0.0</v>
      </c>
      <c r="E801" s="2">
        <v>0.0</v>
      </c>
      <c r="F801" s="2">
        <v>0.0</v>
      </c>
      <c r="G801" s="2">
        <v>0.0</v>
      </c>
      <c r="H801" s="2">
        <v>0.0</v>
      </c>
    </row>
    <row r="802" ht="14.25" customHeight="1">
      <c r="A802" s="2" t="s">
        <v>112</v>
      </c>
      <c r="B802" s="2" t="s">
        <v>212</v>
      </c>
      <c r="C802" s="2" t="s">
        <v>43</v>
      </c>
      <c r="D802" s="2">
        <v>0.0</v>
      </c>
      <c r="E802" s="2">
        <v>0.0</v>
      </c>
      <c r="F802" s="2">
        <v>0.0</v>
      </c>
      <c r="G802" s="2">
        <v>0.0</v>
      </c>
      <c r="H802" s="2">
        <v>0.0</v>
      </c>
    </row>
    <row r="803" ht="14.25" customHeight="1">
      <c r="A803" s="2" t="s">
        <v>112</v>
      </c>
      <c r="B803" s="2" t="s">
        <v>212</v>
      </c>
      <c r="C803" s="2" t="s">
        <v>59</v>
      </c>
      <c r="D803" s="2">
        <v>0.0</v>
      </c>
      <c r="E803" s="2">
        <v>0.0</v>
      </c>
      <c r="F803" s="2">
        <v>0.0</v>
      </c>
      <c r="G803" s="2">
        <v>0.0</v>
      </c>
      <c r="H803" s="2">
        <v>0.0</v>
      </c>
    </row>
    <row r="804" ht="14.25" customHeight="1">
      <c r="A804" s="2" t="s">
        <v>112</v>
      </c>
      <c r="B804" s="2" t="s">
        <v>21</v>
      </c>
      <c r="C804" s="2" t="s">
        <v>10</v>
      </c>
      <c r="D804" s="2">
        <v>0.0</v>
      </c>
      <c r="E804" s="2">
        <v>0.0</v>
      </c>
      <c r="F804" s="2">
        <v>0.0</v>
      </c>
      <c r="G804" s="2">
        <v>0.0</v>
      </c>
      <c r="H804" s="2">
        <v>0.0</v>
      </c>
    </row>
    <row r="805" ht="14.25" customHeight="1">
      <c r="A805" s="2" t="s">
        <v>112</v>
      </c>
      <c r="B805" s="2" t="s">
        <v>22</v>
      </c>
      <c r="C805" s="2" t="s">
        <v>60</v>
      </c>
      <c r="D805" s="2">
        <v>0.0</v>
      </c>
      <c r="E805" s="2">
        <v>0.0</v>
      </c>
      <c r="F805" s="2">
        <v>0.0</v>
      </c>
      <c r="G805" s="2">
        <v>0.0</v>
      </c>
      <c r="H805" s="2">
        <v>0.0</v>
      </c>
    </row>
    <row r="806" ht="14.25" customHeight="1">
      <c r="A806" s="2" t="s">
        <v>112</v>
      </c>
      <c r="B806" s="2" t="s">
        <v>214</v>
      </c>
      <c r="C806" s="2" t="s">
        <v>60</v>
      </c>
      <c r="D806" s="2">
        <v>0.0</v>
      </c>
      <c r="E806" s="2">
        <v>0.0</v>
      </c>
      <c r="F806" s="2">
        <v>0.0</v>
      </c>
      <c r="G806" s="2">
        <v>0.0</v>
      </c>
      <c r="H806" s="2">
        <v>0.0</v>
      </c>
    </row>
    <row r="807" ht="14.25" customHeight="1">
      <c r="A807" s="2" t="s">
        <v>112</v>
      </c>
      <c r="B807" s="2" t="s">
        <v>22</v>
      </c>
      <c r="C807" s="2" t="s">
        <v>10</v>
      </c>
      <c r="D807" s="2">
        <v>0.0</v>
      </c>
      <c r="E807" s="2">
        <v>0.0</v>
      </c>
      <c r="F807" s="2">
        <v>0.0</v>
      </c>
      <c r="G807" s="2">
        <v>0.0</v>
      </c>
      <c r="H807" s="2">
        <v>0.0</v>
      </c>
    </row>
    <row r="808" ht="14.25" customHeight="1">
      <c r="A808" s="2" t="s">
        <v>112</v>
      </c>
      <c r="B808" s="2" t="s">
        <v>23</v>
      </c>
      <c r="C808" s="2" t="s">
        <v>24</v>
      </c>
      <c r="D808" s="2">
        <v>1563.180247880856</v>
      </c>
      <c r="E808" s="2">
        <v>1.99051268724</v>
      </c>
      <c r="F808" s="2">
        <v>40208.12906235523</v>
      </c>
      <c r="G808" s="2">
        <v>11.488708227348</v>
      </c>
      <c r="H808" s="2">
        <v>0.211457380935636</v>
      </c>
    </row>
    <row r="809" ht="14.25" customHeight="1">
      <c r="A809" s="2" t="s">
        <v>112</v>
      </c>
      <c r="B809" s="2" t="s">
        <v>23</v>
      </c>
      <c r="C809" s="2" t="s">
        <v>24</v>
      </c>
      <c r="D809" s="2">
        <v>31555.28038700352</v>
      </c>
      <c r="E809" s="2">
        <v>40.2066843136</v>
      </c>
      <c r="F809" s="2">
        <v>811502.3915181814</v>
      </c>
      <c r="G809" s="2">
        <v>231.81977726936</v>
      </c>
      <c r="H809" s="2">
        <v>4.26628627557412</v>
      </c>
    </row>
    <row r="810" ht="14.25" customHeight="1">
      <c r="A810" s="2" t="s">
        <v>112</v>
      </c>
      <c r="B810" s="2" t="s">
        <v>23</v>
      </c>
      <c r="C810" s="2" t="s">
        <v>25</v>
      </c>
      <c r="D810" s="2">
        <v>1120.29254195136</v>
      </c>
      <c r="E810" s="2">
        <v>3.8111433696</v>
      </c>
      <c r="F810" s="2">
        <v>22623.98094355392</v>
      </c>
      <c r="G810" s="2">
        <v>14.35926455088</v>
      </c>
      <c r="H810" s="2">
        <v>0.02786079231816</v>
      </c>
    </row>
    <row r="811" ht="14.25" customHeight="1">
      <c r="A811" s="2" t="s">
        <v>112</v>
      </c>
      <c r="B811" s="2" t="s">
        <v>23</v>
      </c>
      <c r="C811" s="2" t="s">
        <v>25</v>
      </c>
      <c r="D811" s="2">
        <v>333.1676386224</v>
      </c>
      <c r="E811" s="2">
        <v>1.134903636</v>
      </c>
      <c r="F811" s="2">
        <v>6735.3478181028</v>
      </c>
      <c r="G811" s="2">
        <v>4.2924786867</v>
      </c>
      <c r="H811" s="2">
        <v>0.0083229616719</v>
      </c>
    </row>
    <row r="812" ht="14.25" customHeight="1">
      <c r="A812" s="2" t="s">
        <v>112</v>
      </c>
      <c r="B812" s="2" t="s">
        <v>23</v>
      </c>
      <c r="C812" s="2" t="s">
        <v>25</v>
      </c>
      <c r="D812" s="2">
        <v>129.811983641024</v>
      </c>
      <c r="E812" s="2">
        <v>0.44219208336</v>
      </c>
      <c r="F812" s="2">
        <v>2624.291075794128</v>
      </c>
      <c r="G812" s="2">
        <v>1.672476880892</v>
      </c>
      <c r="H812" s="2">
        <v>0.003242872473644</v>
      </c>
    </row>
    <row r="813" ht="14.25" customHeight="1">
      <c r="A813" s="2" t="s">
        <v>112</v>
      </c>
      <c r="B813" s="2" t="s">
        <v>23</v>
      </c>
      <c r="C813" s="2" t="s">
        <v>25</v>
      </c>
      <c r="D813" s="2">
        <v>96.1634814852824</v>
      </c>
      <c r="E813" s="2">
        <v>0.2778111676606</v>
      </c>
      <c r="F813" s="2">
        <v>2361.092818736572</v>
      </c>
      <c r="G813" s="2">
        <v>1.205499919099</v>
      </c>
      <c r="H813" s="2">
        <v>0.0022816136954604</v>
      </c>
    </row>
    <row r="814" ht="14.25" customHeight="1">
      <c r="A814" s="2" t="s">
        <v>112</v>
      </c>
      <c r="B814" s="2" t="s">
        <v>23</v>
      </c>
      <c r="C814" s="2" t="s">
        <v>25</v>
      </c>
      <c r="D814" s="2">
        <v>282.23263690804</v>
      </c>
      <c r="E814" s="2">
        <v>0.8147638874964</v>
      </c>
      <c r="F814" s="2">
        <v>6908.911821713157</v>
      </c>
      <c r="G814" s="2">
        <v>3.5100584510532</v>
      </c>
      <c r="H814" s="2">
        <v>0.006650877602984</v>
      </c>
    </row>
    <row r="815" ht="14.25" customHeight="1">
      <c r="A815" s="2" t="s">
        <v>112</v>
      </c>
      <c r="B815" s="2" t="s">
        <v>23</v>
      </c>
      <c r="C815" s="2" t="s">
        <v>31</v>
      </c>
      <c r="D815" s="2">
        <v>696.414048351848</v>
      </c>
      <c r="E815" s="2">
        <v>14.72275649192</v>
      </c>
      <c r="F815" s="2">
        <v>18715.99872416886</v>
      </c>
      <c r="G815" s="2">
        <v>10.133578966534</v>
      </c>
      <c r="H815" s="2">
        <v>0.020774506047963</v>
      </c>
    </row>
    <row r="816" ht="14.25" customHeight="1">
      <c r="A816" s="2" t="s">
        <v>112</v>
      </c>
      <c r="B816" s="2" t="s">
        <v>23</v>
      </c>
      <c r="C816" s="2" t="s">
        <v>31</v>
      </c>
      <c r="D816" s="2">
        <v>1010.514248641011</v>
      </c>
      <c r="E816" s="2">
        <v>0.3415149844848</v>
      </c>
      <c r="F816" s="2">
        <v>20278.30999638322</v>
      </c>
      <c r="G816" s="2">
        <v>11.01951040005816</v>
      </c>
      <c r="H816" s="2">
        <v>0.02471025996074412</v>
      </c>
    </row>
    <row r="817" ht="14.25" customHeight="1">
      <c r="A817" s="2" t="s">
        <v>112</v>
      </c>
      <c r="B817" s="2" t="s">
        <v>23</v>
      </c>
      <c r="C817" s="2" t="s">
        <v>31</v>
      </c>
      <c r="D817" s="2">
        <v>317.9233228708069</v>
      </c>
      <c r="E817" s="2">
        <v>0.0677562129312</v>
      </c>
      <c r="F817" s="2">
        <v>5256.867397777844</v>
      </c>
      <c r="G817" s="2">
        <v>1.24561353148404</v>
      </c>
      <c r="H817" s="2">
        <v>0.01113231384710378</v>
      </c>
    </row>
    <row r="818" ht="14.25" customHeight="1">
      <c r="A818" s="2" t="s">
        <v>112</v>
      </c>
      <c r="B818" s="2" t="s">
        <v>23</v>
      </c>
      <c r="C818" s="2" t="s">
        <v>32</v>
      </c>
      <c r="D818" s="2">
        <v>811.55973290175</v>
      </c>
      <c r="E818" s="2">
        <v>2.72966875425</v>
      </c>
      <c r="F818" s="2">
        <v>22279.8229621425</v>
      </c>
      <c r="G818" s="2">
        <v>16.56684156825</v>
      </c>
      <c r="H818" s="2">
        <v>0.0770369535</v>
      </c>
    </row>
    <row r="819" ht="14.25" customHeight="1">
      <c r="A819" s="2" t="s">
        <v>112</v>
      </c>
      <c r="B819" s="2" t="s">
        <v>23</v>
      </c>
      <c r="C819" s="2" t="s">
        <v>32</v>
      </c>
      <c r="D819" s="2">
        <v>348.833888928</v>
      </c>
      <c r="E819" s="2">
        <v>1.10078367</v>
      </c>
      <c r="F819" s="2">
        <v>9258.12266106</v>
      </c>
      <c r="G819" s="2">
        <v>5.99437962</v>
      </c>
      <c r="H819" s="2">
        <v>0.028991202</v>
      </c>
    </row>
    <row r="820" ht="14.25" customHeight="1">
      <c r="A820" s="2" t="s">
        <v>112</v>
      </c>
      <c r="B820" s="2" t="s">
        <v>23</v>
      </c>
      <c r="C820" s="2" t="s">
        <v>26</v>
      </c>
      <c r="D820" s="2">
        <v>1909.679054288115</v>
      </c>
      <c r="E820" s="2">
        <v>5.43137924472</v>
      </c>
      <c r="F820" s="2">
        <v>39986.5681926315</v>
      </c>
      <c r="G820" s="2">
        <v>28.42731261843</v>
      </c>
      <c r="H820" s="2">
        <v>0.13357866687</v>
      </c>
    </row>
    <row r="821" ht="14.25" customHeight="1">
      <c r="A821" s="2" t="s">
        <v>112</v>
      </c>
      <c r="B821" s="2" t="s">
        <v>23</v>
      </c>
      <c r="C821" s="2" t="s">
        <v>33</v>
      </c>
      <c r="D821" s="2">
        <v>609.1592912567</v>
      </c>
      <c r="E821" s="2">
        <v>0.36114787346</v>
      </c>
      <c r="F821" s="2">
        <v>9664.29560193255</v>
      </c>
      <c r="G821" s="2">
        <v>0.40334722948</v>
      </c>
      <c r="H821" s="2">
        <v>0.0024636642727</v>
      </c>
    </row>
    <row r="822" ht="14.25" customHeight="1">
      <c r="A822" s="2" t="s">
        <v>112</v>
      </c>
      <c r="B822" s="2" t="s">
        <v>23</v>
      </c>
      <c r="C822" s="2" t="s">
        <v>33</v>
      </c>
      <c r="D822" s="2">
        <v>653.1344307545</v>
      </c>
      <c r="E822" s="2">
        <v>0.3872190971</v>
      </c>
      <c r="F822" s="2">
        <v>10361.95999504425</v>
      </c>
      <c r="G822" s="2">
        <v>0.4324648198</v>
      </c>
      <c r="H822" s="2">
        <v>0.0026415159145</v>
      </c>
    </row>
    <row r="823" ht="14.25" customHeight="1">
      <c r="A823" s="2" t="s">
        <v>112</v>
      </c>
      <c r="B823" s="2" t="s">
        <v>23</v>
      </c>
      <c r="C823" s="2" t="s">
        <v>33</v>
      </c>
      <c r="D823" s="2">
        <v>609.1592912567</v>
      </c>
      <c r="E823" s="2">
        <v>0.36114787346</v>
      </c>
      <c r="F823" s="2">
        <v>9664.29560193255</v>
      </c>
      <c r="G823" s="2">
        <v>0.40334722948</v>
      </c>
      <c r="H823" s="2">
        <v>0.0024636642727</v>
      </c>
    </row>
    <row r="824" ht="14.25" customHeight="1">
      <c r="A824" s="2" t="s">
        <v>112</v>
      </c>
      <c r="B824" s="2" t="s">
        <v>23</v>
      </c>
      <c r="C824" s="2" t="s">
        <v>33</v>
      </c>
      <c r="D824" s="2">
        <v>807.5531631723</v>
      </c>
      <c r="E824" s="2">
        <v>0.47876821674</v>
      </c>
      <c r="F824" s="2">
        <v>12811.80898853595</v>
      </c>
      <c r="G824" s="2">
        <v>0.53471125812</v>
      </c>
      <c r="H824" s="2">
        <v>0.0032660420763</v>
      </c>
    </row>
    <row r="825" ht="14.25" customHeight="1">
      <c r="A825" s="2" t="s">
        <v>112</v>
      </c>
      <c r="B825" s="2" t="s">
        <v>23</v>
      </c>
      <c r="C825" s="2" t="s">
        <v>33</v>
      </c>
      <c r="D825" s="2">
        <v>445.546949854</v>
      </c>
      <c r="E825" s="2">
        <v>0.2641482052</v>
      </c>
      <c r="F825" s="2">
        <v>7068.590251731</v>
      </c>
      <c r="G825" s="2">
        <v>0.2950133576</v>
      </c>
      <c r="H825" s="2">
        <v>0.001801955774</v>
      </c>
    </row>
    <row r="826" ht="14.25" customHeight="1">
      <c r="A826" s="2" t="s">
        <v>112</v>
      </c>
      <c r="B826" s="2" t="s">
        <v>23</v>
      </c>
      <c r="C826" s="2" t="s">
        <v>33</v>
      </c>
      <c r="D826" s="2">
        <v>445.546949854</v>
      </c>
      <c r="E826" s="2">
        <v>0.2641482052</v>
      </c>
      <c r="F826" s="2">
        <v>7068.590251731</v>
      </c>
      <c r="G826" s="2">
        <v>0.2950133576</v>
      </c>
      <c r="H826" s="2">
        <v>0.001801955774</v>
      </c>
    </row>
    <row r="827" ht="14.25" customHeight="1">
      <c r="A827" s="2" t="s">
        <v>112</v>
      </c>
      <c r="B827" s="2" t="s">
        <v>23</v>
      </c>
      <c r="C827" s="2" t="s">
        <v>33</v>
      </c>
      <c r="D827" s="2">
        <v>807.5531631723</v>
      </c>
      <c r="E827" s="2">
        <v>0.47876821674</v>
      </c>
      <c r="F827" s="2">
        <v>12811.80898853595</v>
      </c>
      <c r="G827" s="2">
        <v>0.53471125812</v>
      </c>
      <c r="H827" s="2">
        <v>0.0032660420763</v>
      </c>
    </row>
    <row r="828" ht="14.25" customHeight="1">
      <c r="A828" s="2" t="s">
        <v>112</v>
      </c>
      <c r="B828" s="2" t="s">
        <v>23</v>
      </c>
      <c r="C828" s="2" t="s">
        <v>33</v>
      </c>
      <c r="D828" s="2">
        <v>18.48657206517</v>
      </c>
      <c r="E828" s="2">
        <v>0.23731312374</v>
      </c>
      <c r="F828" s="2">
        <v>2723.4414306462</v>
      </c>
      <c r="G828" s="2">
        <v>0.74090118036</v>
      </c>
      <c r="H828" s="2">
        <v>0.002681779122</v>
      </c>
    </row>
    <row r="829" ht="14.25" customHeight="1">
      <c r="A829" s="2" t="s">
        <v>112</v>
      </c>
      <c r="B829" s="2" t="s">
        <v>209</v>
      </c>
      <c r="C829" s="2" t="s">
        <v>24</v>
      </c>
      <c r="D829" s="2">
        <v>0.0</v>
      </c>
      <c r="E829" s="2">
        <v>0.0</v>
      </c>
      <c r="F829" s="2">
        <v>0.0</v>
      </c>
      <c r="G829" s="2">
        <v>0.0</v>
      </c>
      <c r="H829" s="2">
        <v>0.0</v>
      </c>
    </row>
    <row r="830" ht="14.25" customHeight="1">
      <c r="A830" s="2" t="s">
        <v>112</v>
      </c>
      <c r="B830" s="2" t="s">
        <v>209</v>
      </c>
      <c r="C830" s="2" t="s">
        <v>24</v>
      </c>
      <c r="D830" s="2">
        <v>0.0</v>
      </c>
      <c r="E830" s="2">
        <v>0.0</v>
      </c>
      <c r="F830" s="2">
        <v>0.0</v>
      </c>
      <c r="G830" s="2">
        <v>0.0</v>
      </c>
      <c r="H830" s="2">
        <v>0.0</v>
      </c>
    </row>
    <row r="831" ht="14.25" customHeight="1">
      <c r="A831" s="2" t="s">
        <v>112</v>
      </c>
      <c r="B831" s="2" t="s">
        <v>209</v>
      </c>
      <c r="C831" s="2" t="s">
        <v>25</v>
      </c>
      <c r="D831" s="2">
        <v>0.0</v>
      </c>
      <c r="E831" s="2">
        <v>0.0</v>
      </c>
      <c r="F831" s="2">
        <v>0.0</v>
      </c>
      <c r="G831" s="2">
        <v>0.0</v>
      </c>
      <c r="H831" s="2">
        <v>0.0</v>
      </c>
    </row>
    <row r="832" ht="14.25" customHeight="1">
      <c r="A832" s="2" t="s">
        <v>112</v>
      </c>
      <c r="B832" s="2" t="s">
        <v>209</v>
      </c>
      <c r="C832" s="2" t="s">
        <v>25</v>
      </c>
      <c r="D832" s="2">
        <v>0.0</v>
      </c>
      <c r="E832" s="2">
        <v>0.0</v>
      </c>
      <c r="F832" s="2">
        <v>0.0</v>
      </c>
      <c r="G832" s="2">
        <v>0.0</v>
      </c>
      <c r="H832" s="2">
        <v>0.0</v>
      </c>
    </row>
    <row r="833" ht="14.25" customHeight="1">
      <c r="A833" s="2" t="s">
        <v>112</v>
      </c>
      <c r="B833" s="2" t="s">
        <v>209</v>
      </c>
      <c r="C833" s="2" t="s">
        <v>25</v>
      </c>
      <c r="D833" s="2">
        <v>0.0</v>
      </c>
      <c r="E833" s="2">
        <v>0.0</v>
      </c>
      <c r="F833" s="2">
        <v>0.0</v>
      </c>
      <c r="G833" s="2">
        <v>0.0</v>
      </c>
      <c r="H833" s="2">
        <v>0.0</v>
      </c>
    </row>
    <row r="834" ht="14.25" customHeight="1">
      <c r="A834" s="2" t="s">
        <v>112</v>
      </c>
      <c r="B834" s="2" t="s">
        <v>209</v>
      </c>
      <c r="C834" s="2" t="s">
        <v>25</v>
      </c>
      <c r="D834" s="2">
        <v>0.0</v>
      </c>
      <c r="E834" s="2">
        <v>0.0</v>
      </c>
      <c r="F834" s="2">
        <v>0.0</v>
      </c>
      <c r="G834" s="2">
        <v>0.0</v>
      </c>
      <c r="H834" s="2">
        <v>0.0</v>
      </c>
    </row>
    <row r="835" ht="14.25" customHeight="1">
      <c r="A835" s="2" t="s">
        <v>112</v>
      </c>
      <c r="B835" s="2" t="s">
        <v>209</v>
      </c>
      <c r="C835" s="2" t="s">
        <v>25</v>
      </c>
      <c r="D835" s="2">
        <v>0.0</v>
      </c>
      <c r="E835" s="2">
        <v>0.0</v>
      </c>
      <c r="F835" s="2">
        <v>0.0</v>
      </c>
      <c r="G835" s="2">
        <v>0.0</v>
      </c>
      <c r="H835" s="2">
        <v>0.0</v>
      </c>
    </row>
    <row r="836" ht="14.25" customHeight="1">
      <c r="A836" s="2" t="s">
        <v>112</v>
      </c>
      <c r="B836" s="2" t="s">
        <v>209</v>
      </c>
      <c r="C836" s="2" t="s">
        <v>31</v>
      </c>
      <c r="D836" s="2">
        <v>0.0</v>
      </c>
      <c r="E836" s="2">
        <v>0.0</v>
      </c>
      <c r="F836" s="2">
        <v>0.0</v>
      </c>
      <c r="G836" s="2">
        <v>0.0</v>
      </c>
      <c r="H836" s="2">
        <v>0.0</v>
      </c>
    </row>
    <row r="837" ht="14.25" customHeight="1">
      <c r="A837" s="2" t="s">
        <v>112</v>
      </c>
      <c r="B837" s="2" t="s">
        <v>209</v>
      </c>
      <c r="C837" s="2" t="s">
        <v>31</v>
      </c>
      <c r="D837" s="2">
        <v>0.0</v>
      </c>
      <c r="E837" s="2">
        <v>0.0</v>
      </c>
      <c r="F837" s="2">
        <v>0.0</v>
      </c>
      <c r="G837" s="2">
        <v>0.0</v>
      </c>
      <c r="H837" s="2">
        <v>0.0</v>
      </c>
    </row>
    <row r="838" ht="14.25" customHeight="1">
      <c r="A838" s="2" t="s">
        <v>112</v>
      </c>
      <c r="B838" s="2" t="s">
        <v>209</v>
      </c>
      <c r="C838" s="2" t="s">
        <v>31</v>
      </c>
      <c r="D838" s="2">
        <v>0.0</v>
      </c>
      <c r="E838" s="2">
        <v>0.0</v>
      </c>
      <c r="F838" s="2">
        <v>0.0</v>
      </c>
      <c r="G838" s="2">
        <v>0.0</v>
      </c>
      <c r="H838" s="2">
        <v>0.0</v>
      </c>
    </row>
    <row r="839" ht="14.25" customHeight="1">
      <c r="A839" s="2" t="s">
        <v>112</v>
      </c>
      <c r="B839" s="2" t="s">
        <v>209</v>
      </c>
      <c r="C839" s="2" t="s">
        <v>32</v>
      </c>
      <c r="D839" s="2">
        <v>0.0</v>
      </c>
      <c r="E839" s="2">
        <v>0.0</v>
      </c>
      <c r="F839" s="2">
        <v>0.0</v>
      </c>
      <c r="G839" s="2">
        <v>0.0</v>
      </c>
      <c r="H839" s="2">
        <v>0.0</v>
      </c>
    </row>
    <row r="840" ht="14.25" customHeight="1">
      <c r="A840" s="2" t="s">
        <v>112</v>
      </c>
      <c r="B840" s="2" t="s">
        <v>209</v>
      </c>
      <c r="C840" s="2" t="s">
        <v>32</v>
      </c>
      <c r="D840" s="2">
        <v>0.0</v>
      </c>
      <c r="E840" s="2">
        <v>0.0</v>
      </c>
      <c r="F840" s="2">
        <v>0.0</v>
      </c>
      <c r="G840" s="2">
        <v>0.0</v>
      </c>
      <c r="H840" s="2">
        <v>0.0</v>
      </c>
    </row>
    <row r="841" ht="14.25" customHeight="1">
      <c r="A841" s="2" t="s">
        <v>112</v>
      </c>
      <c r="B841" s="2" t="s">
        <v>209</v>
      </c>
      <c r="C841" s="2" t="s">
        <v>26</v>
      </c>
      <c r="D841" s="2">
        <v>0.0</v>
      </c>
      <c r="E841" s="2">
        <v>0.0</v>
      </c>
      <c r="F841" s="2">
        <v>0.0</v>
      </c>
      <c r="G841" s="2">
        <v>0.0</v>
      </c>
      <c r="H841" s="2">
        <v>0.0</v>
      </c>
    </row>
    <row r="842" ht="14.25" customHeight="1">
      <c r="A842" s="2" t="s">
        <v>112</v>
      </c>
      <c r="B842" s="2" t="s">
        <v>209</v>
      </c>
      <c r="C842" s="2" t="s">
        <v>33</v>
      </c>
      <c r="D842" s="2">
        <v>0.0</v>
      </c>
      <c r="E842" s="2">
        <v>0.0</v>
      </c>
      <c r="F842" s="2">
        <v>0.0</v>
      </c>
      <c r="G842" s="2">
        <v>0.0</v>
      </c>
      <c r="H842" s="2">
        <v>0.0</v>
      </c>
    </row>
    <row r="843" ht="14.25" customHeight="1">
      <c r="A843" s="2" t="s">
        <v>112</v>
      </c>
      <c r="B843" s="2" t="s">
        <v>209</v>
      </c>
      <c r="C843" s="2" t="s">
        <v>33</v>
      </c>
      <c r="D843" s="2">
        <v>0.0</v>
      </c>
      <c r="E843" s="2">
        <v>0.0</v>
      </c>
      <c r="F843" s="2">
        <v>0.0</v>
      </c>
      <c r="G843" s="2">
        <v>0.0</v>
      </c>
      <c r="H843" s="2">
        <v>0.0</v>
      </c>
    </row>
    <row r="844" ht="14.25" customHeight="1">
      <c r="A844" s="2" t="s">
        <v>112</v>
      </c>
      <c r="B844" s="2" t="s">
        <v>209</v>
      </c>
      <c r="C844" s="2" t="s">
        <v>33</v>
      </c>
      <c r="D844" s="2">
        <v>0.0</v>
      </c>
      <c r="E844" s="2">
        <v>0.0</v>
      </c>
      <c r="F844" s="2">
        <v>0.0</v>
      </c>
      <c r="G844" s="2">
        <v>0.0</v>
      </c>
      <c r="H844" s="2">
        <v>0.0</v>
      </c>
    </row>
    <row r="845" ht="14.25" customHeight="1">
      <c r="A845" s="2" t="s">
        <v>112</v>
      </c>
      <c r="B845" s="2" t="s">
        <v>209</v>
      </c>
      <c r="C845" s="2" t="s">
        <v>33</v>
      </c>
      <c r="D845" s="2">
        <v>0.0</v>
      </c>
      <c r="E845" s="2">
        <v>0.0</v>
      </c>
      <c r="F845" s="2">
        <v>0.0</v>
      </c>
      <c r="G845" s="2">
        <v>0.0</v>
      </c>
      <c r="H845" s="2">
        <v>0.0</v>
      </c>
    </row>
    <row r="846" ht="14.25" customHeight="1">
      <c r="A846" s="2" t="s">
        <v>112</v>
      </c>
      <c r="B846" s="2" t="s">
        <v>209</v>
      </c>
      <c r="C846" s="2" t="s">
        <v>33</v>
      </c>
      <c r="D846" s="2">
        <v>0.0</v>
      </c>
      <c r="E846" s="2">
        <v>0.0</v>
      </c>
      <c r="F846" s="2">
        <v>0.0</v>
      </c>
      <c r="G846" s="2">
        <v>0.0</v>
      </c>
      <c r="H846" s="2">
        <v>0.0</v>
      </c>
    </row>
    <row r="847" ht="14.25" customHeight="1">
      <c r="A847" s="2" t="s">
        <v>112</v>
      </c>
      <c r="B847" s="2" t="s">
        <v>209</v>
      </c>
      <c r="C847" s="2" t="s">
        <v>33</v>
      </c>
      <c r="D847" s="2">
        <v>0.0</v>
      </c>
      <c r="E847" s="2">
        <v>0.0</v>
      </c>
      <c r="F847" s="2">
        <v>0.0</v>
      </c>
      <c r="G847" s="2">
        <v>0.0</v>
      </c>
      <c r="H847" s="2">
        <v>0.0</v>
      </c>
    </row>
    <row r="848" ht="14.25" customHeight="1">
      <c r="A848" s="2" t="s">
        <v>112</v>
      </c>
      <c r="B848" s="2" t="s">
        <v>209</v>
      </c>
      <c r="C848" s="2" t="s">
        <v>33</v>
      </c>
      <c r="D848" s="2">
        <v>0.0</v>
      </c>
      <c r="E848" s="2">
        <v>0.0</v>
      </c>
      <c r="F848" s="2">
        <v>0.0</v>
      </c>
      <c r="G848" s="2">
        <v>0.0</v>
      </c>
      <c r="H848" s="2">
        <v>0.0</v>
      </c>
    </row>
    <row r="849" ht="14.25" customHeight="1">
      <c r="A849" s="2" t="s">
        <v>112</v>
      </c>
      <c r="B849" s="2" t="s">
        <v>209</v>
      </c>
      <c r="C849" s="2" t="s">
        <v>33</v>
      </c>
      <c r="D849" s="2">
        <v>0.0</v>
      </c>
      <c r="E849" s="2">
        <v>0.0</v>
      </c>
      <c r="F849" s="2">
        <v>0.0</v>
      </c>
      <c r="G849" s="2">
        <v>0.0</v>
      </c>
      <c r="H849" s="2">
        <v>0.0</v>
      </c>
    </row>
    <row r="850" ht="14.25" customHeight="1">
      <c r="A850" s="2" t="s">
        <v>112</v>
      </c>
      <c r="B850" s="2" t="s">
        <v>23</v>
      </c>
      <c r="C850" s="2" t="s">
        <v>10</v>
      </c>
      <c r="D850" s="2">
        <v>44571.19302485968</v>
      </c>
      <c r="E850" s="2">
        <v>75.904531314903</v>
      </c>
      <c r="F850" s="2">
        <v>1080914.626102691</v>
      </c>
      <c r="G850" s="2">
        <v>345.3750103806484</v>
      </c>
      <c r="H850" s="2">
        <v>4.842713295780215</v>
      </c>
    </row>
    <row r="851" ht="14.25" customHeight="1">
      <c r="A851" s="2" t="s">
        <v>112</v>
      </c>
      <c r="B851" s="2" t="s">
        <v>29</v>
      </c>
      <c r="C851" s="2" t="s">
        <v>10</v>
      </c>
      <c r="D851" s="2">
        <v>0.0</v>
      </c>
      <c r="E851" s="2">
        <v>0.0</v>
      </c>
      <c r="F851" s="2">
        <v>0.0</v>
      </c>
      <c r="G851" s="2">
        <v>0.0</v>
      </c>
      <c r="H851" s="2">
        <v>0.0</v>
      </c>
    </row>
    <row r="852" ht="14.25" customHeight="1">
      <c r="A852" s="2" t="s">
        <v>112</v>
      </c>
      <c r="B852" s="2" t="s">
        <v>18</v>
      </c>
      <c r="C852" s="2" t="s">
        <v>10</v>
      </c>
      <c r="D852" s="2">
        <v>0.0</v>
      </c>
      <c r="E852" s="2">
        <v>0.0</v>
      </c>
      <c r="F852" s="2">
        <v>0.0</v>
      </c>
      <c r="G852" s="2">
        <v>0.0</v>
      </c>
      <c r="H852" s="2">
        <v>0.0</v>
      </c>
    </row>
    <row r="853" ht="14.25" customHeight="1">
      <c r="A853" s="2" t="s">
        <v>113</v>
      </c>
      <c r="B853" s="2" t="s">
        <v>23</v>
      </c>
      <c r="C853" s="2" t="s">
        <v>10</v>
      </c>
      <c r="D853" s="2">
        <v>0.0</v>
      </c>
      <c r="E853" s="2">
        <v>0.0</v>
      </c>
      <c r="F853" s="2">
        <v>0.0</v>
      </c>
      <c r="G853" s="2">
        <v>0.0</v>
      </c>
      <c r="H853" s="2">
        <v>0.0</v>
      </c>
    </row>
    <row r="854" ht="14.25" customHeight="1">
      <c r="A854" s="2" t="s">
        <v>113</v>
      </c>
      <c r="B854" s="2" t="s">
        <v>29</v>
      </c>
      <c r="C854" s="2" t="s">
        <v>34</v>
      </c>
      <c r="D854" s="2">
        <v>1052.6466315696</v>
      </c>
      <c r="E854" s="2">
        <v>1.340412584</v>
      </c>
      <c r="F854" s="2">
        <v>27076.1811867712</v>
      </c>
      <c r="G854" s="2">
        <v>7.7365038568</v>
      </c>
      <c r="H854" s="2">
        <v>0.1423955427176</v>
      </c>
    </row>
    <row r="855" ht="14.25" customHeight="1">
      <c r="A855" s="2" t="s">
        <v>113</v>
      </c>
      <c r="B855" s="2" t="s">
        <v>29</v>
      </c>
      <c r="C855" s="2" t="s">
        <v>35</v>
      </c>
      <c r="D855" s="2">
        <v>14.80745060544</v>
      </c>
      <c r="E855" s="2">
        <v>0.0504401616</v>
      </c>
      <c r="F855" s="2">
        <v>299.34879191568</v>
      </c>
      <c r="G855" s="2">
        <v>0.19077683052</v>
      </c>
      <c r="H855" s="2">
        <v>3.6990940764E-4</v>
      </c>
    </row>
    <row r="856" ht="14.25" customHeight="1">
      <c r="A856" s="2" t="s">
        <v>113</v>
      </c>
      <c r="B856" s="2" t="s">
        <v>29</v>
      </c>
      <c r="C856" s="2" t="s">
        <v>35</v>
      </c>
      <c r="D856" s="2">
        <v>34.55071807936</v>
      </c>
      <c r="E856" s="2">
        <v>0.1176937104</v>
      </c>
      <c r="F856" s="2">
        <v>698.48051446992</v>
      </c>
      <c r="G856" s="2">
        <v>0.44514593788</v>
      </c>
      <c r="H856" s="2">
        <v>8.6312195116E-4</v>
      </c>
    </row>
    <row r="857" ht="14.25" customHeight="1">
      <c r="A857" s="2" t="s">
        <v>113</v>
      </c>
      <c r="B857" s="2" t="s">
        <v>29</v>
      </c>
      <c r="C857" s="2" t="s">
        <v>35</v>
      </c>
      <c r="D857" s="2">
        <v>6.975904674496</v>
      </c>
      <c r="E857" s="2">
        <v>0.02788391304</v>
      </c>
      <c r="F857" s="2">
        <v>134.684070885312</v>
      </c>
      <c r="G857" s="2">
        <v>0.083625776768</v>
      </c>
      <c r="H857" s="2">
        <v>1.65013186976E-4</v>
      </c>
    </row>
    <row r="858" ht="14.25" customHeight="1">
      <c r="A858" s="2" t="s">
        <v>113</v>
      </c>
      <c r="B858" s="2" t="s">
        <v>29</v>
      </c>
      <c r="C858" s="2" t="s">
        <v>35</v>
      </c>
      <c r="D858" s="2">
        <v>96.971577968352</v>
      </c>
      <c r="E858" s="2">
        <v>0.280145715288</v>
      </c>
      <c r="F858" s="2">
        <v>2380.933934860409</v>
      </c>
      <c r="G858" s="2">
        <v>1.21563017052</v>
      </c>
      <c r="H858" s="2">
        <v>0.002300786919792</v>
      </c>
    </row>
    <row r="859" ht="14.25" customHeight="1">
      <c r="A859" s="2" t="s">
        <v>113</v>
      </c>
      <c r="B859" s="2" t="s">
        <v>29</v>
      </c>
      <c r="C859" s="2" t="s">
        <v>36</v>
      </c>
      <c r="D859" s="2">
        <v>0.2748200598</v>
      </c>
      <c r="E859" s="2">
        <v>7.085205E-5</v>
      </c>
      <c r="F859" s="2">
        <v>4.38652350225</v>
      </c>
      <c r="G859" s="2">
        <v>0.006861503475</v>
      </c>
      <c r="H859" s="2">
        <v>7.360875E-5</v>
      </c>
    </row>
    <row r="860" ht="14.25" customHeight="1">
      <c r="A860" s="2" t="s">
        <v>113</v>
      </c>
      <c r="B860" s="2" t="s">
        <v>210</v>
      </c>
      <c r="C860" s="2" t="s">
        <v>34</v>
      </c>
      <c r="D860" s="2">
        <v>0.0</v>
      </c>
      <c r="E860" s="2">
        <v>0.0</v>
      </c>
      <c r="F860" s="2">
        <v>0.0</v>
      </c>
      <c r="G860" s="2">
        <v>0.0</v>
      </c>
      <c r="H860" s="2">
        <v>0.0</v>
      </c>
    </row>
    <row r="861" ht="14.25" customHeight="1">
      <c r="A861" s="2" t="s">
        <v>113</v>
      </c>
      <c r="B861" s="2" t="s">
        <v>210</v>
      </c>
      <c r="C861" s="2" t="s">
        <v>35</v>
      </c>
      <c r="D861" s="2">
        <v>0.0</v>
      </c>
      <c r="E861" s="2">
        <v>0.0</v>
      </c>
      <c r="F861" s="2">
        <v>0.0</v>
      </c>
      <c r="G861" s="2">
        <v>0.0</v>
      </c>
      <c r="H861" s="2">
        <v>0.0</v>
      </c>
    </row>
    <row r="862" ht="14.25" customHeight="1">
      <c r="A862" s="2" t="s">
        <v>113</v>
      </c>
      <c r="B862" s="2" t="s">
        <v>210</v>
      </c>
      <c r="C862" s="2" t="s">
        <v>35</v>
      </c>
      <c r="D862" s="2">
        <v>0.0</v>
      </c>
      <c r="E862" s="2">
        <v>0.0</v>
      </c>
      <c r="F862" s="2">
        <v>0.0</v>
      </c>
      <c r="G862" s="2">
        <v>0.0</v>
      </c>
      <c r="H862" s="2">
        <v>0.0</v>
      </c>
    </row>
    <row r="863" ht="14.25" customHeight="1">
      <c r="A863" s="2" t="s">
        <v>113</v>
      </c>
      <c r="B863" s="2" t="s">
        <v>210</v>
      </c>
      <c r="C863" s="2" t="s">
        <v>35</v>
      </c>
      <c r="D863" s="2">
        <v>0.0</v>
      </c>
      <c r="E863" s="2">
        <v>0.0</v>
      </c>
      <c r="F863" s="2">
        <v>0.0</v>
      </c>
      <c r="G863" s="2">
        <v>0.0</v>
      </c>
      <c r="H863" s="2">
        <v>0.0</v>
      </c>
    </row>
    <row r="864" ht="14.25" customHeight="1">
      <c r="A864" s="2" t="s">
        <v>113</v>
      </c>
      <c r="B864" s="2" t="s">
        <v>210</v>
      </c>
      <c r="C864" s="2" t="s">
        <v>35</v>
      </c>
      <c r="D864" s="2">
        <v>0.0</v>
      </c>
      <c r="E864" s="2">
        <v>0.0</v>
      </c>
      <c r="F864" s="2">
        <v>0.0</v>
      </c>
      <c r="G864" s="2">
        <v>0.0</v>
      </c>
      <c r="H864" s="2">
        <v>0.0</v>
      </c>
    </row>
    <row r="865" ht="14.25" customHeight="1">
      <c r="A865" s="2" t="s">
        <v>113</v>
      </c>
      <c r="B865" s="2" t="s">
        <v>210</v>
      </c>
      <c r="C865" s="2" t="s">
        <v>36</v>
      </c>
      <c r="D865" s="2">
        <v>0.0</v>
      </c>
      <c r="E865" s="2">
        <v>0.0</v>
      </c>
      <c r="F865" s="2">
        <v>0.0</v>
      </c>
      <c r="G865" s="2">
        <v>0.0</v>
      </c>
      <c r="H865" s="2">
        <v>0.0</v>
      </c>
    </row>
    <row r="866" ht="14.25" customHeight="1">
      <c r="A866" s="2" t="s">
        <v>113</v>
      </c>
      <c r="B866" s="2" t="s">
        <v>29</v>
      </c>
      <c r="C866" s="2" t="s">
        <v>10</v>
      </c>
      <c r="D866" s="2">
        <v>1206.227102957048</v>
      </c>
      <c r="E866" s="2">
        <v>1.816646936378</v>
      </c>
      <c r="F866" s="2">
        <v>30594.01502240477</v>
      </c>
      <c r="G866" s="2">
        <v>9.678544075963</v>
      </c>
      <c r="H866" s="2">
        <v>0.146167982933168</v>
      </c>
    </row>
    <row r="867" ht="14.25" customHeight="1">
      <c r="A867" s="2" t="s">
        <v>113</v>
      </c>
      <c r="B867" s="2" t="s">
        <v>18</v>
      </c>
      <c r="C867" s="2" t="s">
        <v>10</v>
      </c>
      <c r="D867" s="2">
        <v>0.0</v>
      </c>
      <c r="E867" s="2">
        <v>0.0</v>
      </c>
      <c r="F867" s="2">
        <v>0.0</v>
      </c>
      <c r="G867" s="2">
        <v>0.0</v>
      </c>
      <c r="H867" s="2">
        <v>0.0</v>
      </c>
    </row>
    <row r="868" ht="14.25" customHeight="1">
      <c r="A868" s="2" t="s">
        <v>114</v>
      </c>
      <c r="B868" s="2" t="s">
        <v>21</v>
      </c>
      <c r="C868" s="2" t="s">
        <v>41</v>
      </c>
      <c r="D868" s="2">
        <v>0.0</v>
      </c>
      <c r="E868" s="2">
        <v>0.0</v>
      </c>
      <c r="F868" s="2">
        <v>0.0</v>
      </c>
      <c r="G868" s="2">
        <v>0.0</v>
      </c>
      <c r="H868" s="2">
        <v>0.0</v>
      </c>
    </row>
    <row r="869" ht="14.25" customHeight="1">
      <c r="A869" s="2" t="s">
        <v>114</v>
      </c>
      <c r="B869" s="2" t="s">
        <v>21</v>
      </c>
      <c r="C869" s="2" t="s">
        <v>42</v>
      </c>
      <c r="D869" s="2">
        <v>0.0</v>
      </c>
      <c r="E869" s="2">
        <v>0.0</v>
      </c>
      <c r="F869" s="2">
        <v>0.0</v>
      </c>
      <c r="G869" s="2">
        <v>0.0</v>
      </c>
      <c r="H869" s="2">
        <v>0.0</v>
      </c>
    </row>
    <row r="870" ht="14.25" customHeight="1">
      <c r="A870" s="2" t="s">
        <v>114</v>
      </c>
      <c r="B870" s="2" t="s">
        <v>21</v>
      </c>
      <c r="C870" s="2" t="s">
        <v>43</v>
      </c>
      <c r="D870" s="2">
        <v>0.0</v>
      </c>
      <c r="E870" s="2">
        <v>0.0</v>
      </c>
      <c r="F870" s="2">
        <v>0.0</v>
      </c>
      <c r="G870" s="2">
        <v>0.0</v>
      </c>
      <c r="H870" s="2">
        <v>0.0</v>
      </c>
    </row>
    <row r="871" ht="14.25" customHeight="1">
      <c r="A871" s="2" t="s">
        <v>114</v>
      </c>
      <c r="B871" s="2" t="s">
        <v>21</v>
      </c>
      <c r="C871" s="2" t="s">
        <v>59</v>
      </c>
      <c r="D871" s="2">
        <v>0.0</v>
      </c>
      <c r="E871" s="2">
        <v>0.0</v>
      </c>
      <c r="F871" s="2">
        <v>0.0</v>
      </c>
      <c r="G871" s="2">
        <v>0.0</v>
      </c>
      <c r="H871" s="2">
        <v>0.0</v>
      </c>
    </row>
    <row r="872" ht="14.25" customHeight="1">
      <c r="A872" s="2" t="s">
        <v>114</v>
      </c>
      <c r="B872" s="2" t="s">
        <v>212</v>
      </c>
      <c r="C872" s="2" t="s">
        <v>41</v>
      </c>
      <c r="D872" s="2">
        <v>0.0</v>
      </c>
      <c r="E872" s="2">
        <v>0.0</v>
      </c>
      <c r="F872" s="2">
        <v>0.0</v>
      </c>
      <c r="G872" s="2">
        <v>0.0</v>
      </c>
      <c r="H872" s="2">
        <v>0.0</v>
      </c>
    </row>
    <row r="873" ht="14.25" customHeight="1">
      <c r="A873" s="2" t="s">
        <v>114</v>
      </c>
      <c r="B873" s="2" t="s">
        <v>212</v>
      </c>
      <c r="C873" s="2" t="s">
        <v>42</v>
      </c>
      <c r="D873" s="2">
        <v>0.0</v>
      </c>
      <c r="E873" s="2">
        <v>0.0</v>
      </c>
      <c r="F873" s="2">
        <v>0.0</v>
      </c>
      <c r="G873" s="2">
        <v>0.0</v>
      </c>
      <c r="H873" s="2">
        <v>0.0</v>
      </c>
    </row>
    <row r="874" ht="14.25" customHeight="1">
      <c r="A874" s="2" t="s">
        <v>114</v>
      </c>
      <c r="B874" s="2" t="s">
        <v>212</v>
      </c>
      <c r="C874" s="2" t="s">
        <v>43</v>
      </c>
      <c r="D874" s="2">
        <v>0.0</v>
      </c>
      <c r="E874" s="2">
        <v>0.0</v>
      </c>
      <c r="F874" s="2">
        <v>0.0</v>
      </c>
      <c r="G874" s="2">
        <v>0.0</v>
      </c>
      <c r="H874" s="2">
        <v>0.0</v>
      </c>
    </row>
    <row r="875" ht="14.25" customHeight="1">
      <c r="A875" s="2" t="s">
        <v>114</v>
      </c>
      <c r="B875" s="2" t="s">
        <v>212</v>
      </c>
      <c r="C875" s="2" t="s">
        <v>59</v>
      </c>
      <c r="D875" s="2">
        <v>0.0</v>
      </c>
      <c r="E875" s="2">
        <v>0.0</v>
      </c>
      <c r="F875" s="2">
        <v>0.0</v>
      </c>
      <c r="G875" s="2">
        <v>0.0</v>
      </c>
      <c r="H875" s="2">
        <v>0.0</v>
      </c>
    </row>
    <row r="876" ht="14.25" customHeight="1">
      <c r="A876" s="2" t="s">
        <v>114</v>
      </c>
      <c r="B876" s="2" t="s">
        <v>21</v>
      </c>
      <c r="C876" s="2" t="s">
        <v>10</v>
      </c>
      <c r="D876" s="2">
        <v>0.0</v>
      </c>
      <c r="E876" s="2">
        <v>0.0</v>
      </c>
      <c r="F876" s="2">
        <v>0.0</v>
      </c>
      <c r="G876" s="2">
        <v>0.0</v>
      </c>
      <c r="H876" s="2">
        <v>0.0</v>
      </c>
    </row>
    <row r="877" ht="14.25" customHeight="1">
      <c r="A877" s="2" t="s">
        <v>114</v>
      </c>
      <c r="B877" s="2" t="s">
        <v>22</v>
      </c>
      <c r="C877" s="2" t="s">
        <v>60</v>
      </c>
      <c r="D877" s="2">
        <v>1049.439009524544</v>
      </c>
      <c r="E877" s="2">
        <v>3.52621628856</v>
      </c>
      <c r="F877" s="2">
        <v>20963.26498490957</v>
      </c>
      <c r="G877" s="2">
        <v>13.211115452352</v>
      </c>
      <c r="H877" s="2">
        <v>0.029659985727264</v>
      </c>
    </row>
    <row r="878" ht="14.25" customHeight="1">
      <c r="A878" s="2" t="s">
        <v>114</v>
      </c>
      <c r="B878" s="2" t="s">
        <v>22</v>
      </c>
      <c r="C878" s="2" t="s">
        <v>60</v>
      </c>
      <c r="D878" s="2">
        <v>24.2144594724</v>
      </c>
      <c r="E878" s="2">
        <v>0.0869213365</v>
      </c>
      <c r="F878" s="2">
        <v>978.0676452028</v>
      </c>
      <c r="G878" s="2">
        <v>0.2659447292</v>
      </c>
      <c r="H878" s="2">
        <v>6.028691044E-4</v>
      </c>
    </row>
    <row r="879" ht="14.25" customHeight="1">
      <c r="A879" s="2" t="s">
        <v>114</v>
      </c>
      <c r="B879" s="2" t="s">
        <v>22</v>
      </c>
      <c r="C879" s="2" t="s">
        <v>60</v>
      </c>
      <c r="D879" s="2">
        <v>3908.887631232</v>
      </c>
      <c r="E879" s="2">
        <v>175.01351768</v>
      </c>
      <c r="F879" s="2">
        <v>41685.379435904</v>
      </c>
      <c r="G879" s="2">
        <v>42.552119456</v>
      </c>
      <c r="H879" s="2">
        <v>0.249999542392</v>
      </c>
    </row>
    <row r="880" ht="14.25" customHeight="1">
      <c r="A880" s="2" t="s">
        <v>114</v>
      </c>
      <c r="B880" s="2" t="s">
        <v>22</v>
      </c>
      <c r="C880" s="2" t="s">
        <v>61</v>
      </c>
      <c r="D880" s="2">
        <v>133.7471828124</v>
      </c>
      <c r="E880" s="2">
        <v>1.152903701</v>
      </c>
      <c r="F880" s="2">
        <v>2030.5633198528</v>
      </c>
      <c r="G880" s="2">
        <v>1.0630485377</v>
      </c>
      <c r="H880" s="2">
        <v>0.00365902790565</v>
      </c>
    </row>
    <row r="881" ht="14.25" customHeight="1">
      <c r="A881" s="2" t="s">
        <v>114</v>
      </c>
      <c r="B881" s="2" t="s">
        <v>22</v>
      </c>
      <c r="C881" s="2" t="s">
        <v>61</v>
      </c>
      <c r="D881" s="2">
        <v>37724.116024981</v>
      </c>
      <c r="E881" s="2">
        <v>53.7819499585</v>
      </c>
      <c r="F881" s="2">
        <v>1054742.320411812</v>
      </c>
      <c r="G881" s="2">
        <v>334.490666153</v>
      </c>
      <c r="H881" s="2">
        <v>6.227102296226</v>
      </c>
    </row>
    <row r="882" ht="14.25" customHeight="1">
      <c r="A882" s="2" t="s">
        <v>114</v>
      </c>
      <c r="B882" s="2" t="s">
        <v>22</v>
      </c>
      <c r="C882" s="2" t="s">
        <v>61</v>
      </c>
      <c r="D882" s="2">
        <v>14889.6017714102</v>
      </c>
      <c r="E882" s="2">
        <v>21.2082533405</v>
      </c>
      <c r="F882" s="2">
        <v>416479.8557521044</v>
      </c>
      <c r="G882" s="2">
        <v>132.1312896541</v>
      </c>
      <c r="H882" s="2">
        <v>2.46029525012995</v>
      </c>
    </row>
    <row r="883" ht="14.25" customHeight="1">
      <c r="A883" s="2" t="s">
        <v>114</v>
      </c>
      <c r="B883" s="2" t="s">
        <v>22</v>
      </c>
      <c r="C883" s="2" t="s">
        <v>62</v>
      </c>
      <c r="D883" s="2">
        <v>2983.085386</v>
      </c>
      <c r="E883" s="2">
        <v>10.18219792</v>
      </c>
      <c r="F883" s="2">
        <v>60404.541177</v>
      </c>
      <c r="G883" s="2">
        <v>38.73862295</v>
      </c>
      <c r="H883" s="2">
        <v>0.0750361545</v>
      </c>
    </row>
    <row r="884" ht="14.25" customHeight="1">
      <c r="A884" s="2" t="s">
        <v>114</v>
      </c>
      <c r="B884" s="2" t="s">
        <v>22</v>
      </c>
      <c r="C884" s="2" t="s">
        <v>62</v>
      </c>
      <c r="D884" s="2">
        <v>232.32397192344</v>
      </c>
      <c r="E884" s="2">
        <v>0.6059866404</v>
      </c>
      <c r="F884" s="2">
        <v>4274.00207310168</v>
      </c>
      <c r="G884" s="2">
        <v>3.57142535832</v>
      </c>
      <c r="H884" s="2">
        <v>0.00577306450689</v>
      </c>
    </row>
    <row r="885" ht="14.25" customHeight="1">
      <c r="A885" s="2" t="s">
        <v>114</v>
      </c>
      <c r="B885" s="2" t="s">
        <v>22</v>
      </c>
      <c r="C885" s="2" t="s">
        <v>92</v>
      </c>
      <c r="D885" s="2">
        <v>172.44626413944</v>
      </c>
      <c r="E885" s="2">
        <v>0.36264718</v>
      </c>
      <c r="F885" s="2">
        <v>2676.40942970268</v>
      </c>
      <c r="G885" s="2">
        <v>1.44637444372</v>
      </c>
      <c r="H885" s="2">
        <v>0.01896647764664</v>
      </c>
    </row>
    <row r="886" ht="14.25" customHeight="1">
      <c r="A886" s="2" t="s">
        <v>114</v>
      </c>
      <c r="B886" s="2" t="s">
        <v>22</v>
      </c>
      <c r="C886" s="2" t="s">
        <v>92</v>
      </c>
      <c r="D886" s="2">
        <v>84.30659063472</v>
      </c>
      <c r="E886" s="2">
        <v>0.029135898</v>
      </c>
      <c r="F886" s="2">
        <v>1690.86970979184</v>
      </c>
      <c r="G886" s="2">
        <v>0.91685930076</v>
      </c>
      <c r="H886" s="2">
        <v>0.00205657883082</v>
      </c>
    </row>
    <row r="887" ht="14.25" customHeight="1">
      <c r="A887" s="2" t="s">
        <v>114</v>
      </c>
      <c r="B887" s="2" t="s">
        <v>22</v>
      </c>
      <c r="C887" s="2" t="s">
        <v>63</v>
      </c>
      <c r="D887" s="2">
        <v>2588.87489944512</v>
      </c>
      <c r="E887" s="2">
        <v>5.50211870208</v>
      </c>
      <c r="F887" s="2">
        <v>63611.486260608</v>
      </c>
      <c r="G887" s="2">
        <v>36.01789716096</v>
      </c>
      <c r="H887" s="2">
        <v>0.16024008</v>
      </c>
    </row>
    <row r="888" ht="14.25" customHeight="1">
      <c r="A888" s="2" t="s">
        <v>114</v>
      </c>
      <c r="B888" s="2" t="s">
        <v>22</v>
      </c>
      <c r="C888" s="2" t="s">
        <v>64</v>
      </c>
      <c r="D888" s="2">
        <v>73.8528148215</v>
      </c>
      <c r="E888" s="2">
        <v>0.06435</v>
      </c>
      <c r="F888" s="2">
        <v>86.70867538905</v>
      </c>
      <c r="G888" s="2">
        <v>0.0858</v>
      </c>
      <c r="H888" s="2">
        <v>1.716E-4</v>
      </c>
    </row>
    <row r="889" ht="14.25" customHeight="1">
      <c r="A889" s="2" t="s">
        <v>114</v>
      </c>
      <c r="B889" s="2" t="s">
        <v>22</v>
      </c>
      <c r="C889" s="2" t="s">
        <v>65</v>
      </c>
      <c r="D889" s="2">
        <v>170.525652771</v>
      </c>
      <c r="E889" s="2">
        <v>0.6365191897</v>
      </c>
      <c r="F889" s="2">
        <v>5507.2771301308</v>
      </c>
      <c r="G889" s="2">
        <v>4.78927138504</v>
      </c>
      <c r="H889" s="2">
        <v>0.010961562162</v>
      </c>
    </row>
    <row r="890" ht="14.25" customHeight="1">
      <c r="A890" s="2" t="s">
        <v>114</v>
      </c>
      <c r="B890" s="2" t="s">
        <v>22</v>
      </c>
      <c r="C890" s="2" t="s">
        <v>66</v>
      </c>
      <c r="D890" s="2">
        <v>1363.2850573524</v>
      </c>
      <c r="E890" s="2">
        <v>18.0551360556</v>
      </c>
      <c r="F890" s="2">
        <v>35706.42614952</v>
      </c>
      <c r="G890" s="2">
        <v>179.4856650048</v>
      </c>
      <c r="H890" s="2">
        <v>16.0528422348</v>
      </c>
    </row>
    <row r="891" ht="14.25" customHeight="1">
      <c r="A891" s="2" t="s">
        <v>114</v>
      </c>
      <c r="B891" s="2" t="s">
        <v>22</v>
      </c>
      <c r="C891" s="2" t="s">
        <v>67</v>
      </c>
      <c r="D891" s="2">
        <v>378.06073368</v>
      </c>
      <c r="E891" s="2">
        <v>1.2446416311</v>
      </c>
      <c r="F891" s="2">
        <v>14728.254784005</v>
      </c>
      <c r="G891" s="2">
        <v>8.944742982</v>
      </c>
      <c r="H891" s="2">
        <v>0.020714559201</v>
      </c>
    </row>
    <row r="892" ht="14.25" customHeight="1">
      <c r="A892" s="2" t="s">
        <v>114</v>
      </c>
      <c r="B892" s="2" t="s">
        <v>22</v>
      </c>
      <c r="C892" s="2" t="s">
        <v>68</v>
      </c>
      <c r="D892" s="2">
        <v>2423.80702023168</v>
      </c>
      <c r="E892" s="2">
        <v>6.4577112832</v>
      </c>
      <c r="F892" s="2">
        <v>40425.72048400896</v>
      </c>
      <c r="G892" s="2">
        <v>4.59793519744</v>
      </c>
      <c r="H892" s="2">
        <v>0.01560628659008</v>
      </c>
    </row>
    <row r="893" ht="14.25" customHeight="1">
      <c r="A893" s="2" t="s">
        <v>114</v>
      </c>
      <c r="B893" s="2" t="s">
        <v>214</v>
      </c>
      <c r="C893" s="2" t="s">
        <v>60</v>
      </c>
      <c r="D893" s="2">
        <v>0.0</v>
      </c>
      <c r="E893" s="2">
        <v>0.0</v>
      </c>
      <c r="F893" s="2">
        <v>0.0</v>
      </c>
      <c r="G893" s="2">
        <v>0.0</v>
      </c>
      <c r="H893" s="2">
        <v>0.0</v>
      </c>
    </row>
    <row r="894" ht="14.25" customHeight="1">
      <c r="A894" s="2" t="s">
        <v>114</v>
      </c>
      <c r="B894" s="2" t="s">
        <v>214</v>
      </c>
      <c r="C894" s="2" t="s">
        <v>60</v>
      </c>
      <c r="D894" s="2">
        <v>0.0</v>
      </c>
      <c r="E894" s="2">
        <v>0.0</v>
      </c>
      <c r="F894" s="2">
        <v>0.0</v>
      </c>
      <c r="G894" s="2">
        <v>0.0</v>
      </c>
      <c r="H894" s="2">
        <v>0.0</v>
      </c>
    </row>
    <row r="895" ht="14.25" customHeight="1">
      <c r="A895" s="2" t="s">
        <v>114</v>
      </c>
      <c r="B895" s="2" t="s">
        <v>214</v>
      </c>
      <c r="C895" s="2" t="s">
        <v>60</v>
      </c>
      <c r="D895" s="2">
        <v>0.0</v>
      </c>
      <c r="E895" s="2">
        <v>0.0</v>
      </c>
      <c r="F895" s="2">
        <v>0.0</v>
      </c>
      <c r="G895" s="2">
        <v>0.0</v>
      </c>
      <c r="H895" s="2">
        <v>0.0</v>
      </c>
    </row>
    <row r="896" ht="14.25" customHeight="1">
      <c r="A896" s="2" t="s">
        <v>114</v>
      </c>
      <c r="B896" s="2" t="s">
        <v>214</v>
      </c>
      <c r="C896" s="2" t="s">
        <v>61</v>
      </c>
      <c r="D896" s="2">
        <v>0.0</v>
      </c>
      <c r="E896" s="2">
        <v>0.0</v>
      </c>
      <c r="F896" s="2">
        <v>0.0</v>
      </c>
      <c r="G896" s="2">
        <v>0.0</v>
      </c>
      <c r="H896" s="2">
        <v>0.0</v>
      </c>
    </row>
    <row r="897" ht="14.25" customHeight="1">
      <c r="A897" s="2" t="s">
        <v>114</v>
      </c>
      <c r="B897" s="2" t="s">
        <v>214</v>
      </c>
      <c r="C897" s="2" t="s">
        <v>61</v>
      </c>
      <c r="D897" s="2">
        <v>0.0</v>
      </c>
      <c r="E897" s="2">
        <v>0.0</v>
      </c>
      <c r="F897" s="2">
        <v>0.0</v>
      </c>
      <c r="G897" s="2">
        <v>0.0</v>
      </c>
      <c r="H897" s="2">
        <v>0.0</v>
      </c>
    </row>
    <row r="898" ht="14.25" customHeight="1">
      <c r="A898" s="2" t="s">
        <v>114</v>
      </c>
      <c r="B898" s="2" t="s">
        <v>214</v>
      </c>
      <c r="C898" s="2" t="s">
        <v>61</v>
      </c>
      <c r="D898" s="2">
        <v>0.0</v>
      </c>
      <c r="E898" s="2">
        <v>0.0</v>
      </c>
      <c r="F898" s="2">
        <v>0.0</v>
      </c>
      <c r="G898" s="2">
        <v>0.0</v>
      </c>
      <c r="H898" s="2">
        <v>0.0</v>
      </c>
    </row>
    <row r="899" ht="14.25" customHeight="1">
      <c r="A899" s="2" t="s">
        <v>114</v>
      </c>
      <c r="B899" s="2" t="s">
        <v>214</v>
      </c>
      <c r="C899" s="2" t="s">
        <v>62</v>
      </c>
      <c r="D899" s="2">
        <v>0.0</v>
      </c>
      <c r="E899" s="2">
        <v>0.0</v>
      </c>
      <c r="F899" s="2">
        <v>0.0</v>
      </c>
      <c r="G899" s="2">
        <v>0.0</v>
      </c>
      <c r="H899" s="2">
        <v>0.0</v>
      </c>
    </row>
    <row r="900" ht="14.25" customHeight="1">
      <c r="A900" s="2" t="s">
        <v>114</v>
      </c>
      <c r="B900" s="2" t="s">
        <v>214</v>
      </c>
      <c r="C900" s="2" t="s">
        <v>62</v>
      </c>
      <c r="D900" s="2">
        <v>0.0</v>
      </c>
      <c r="E900" s="2">
        <v>0.0</v>
      </c>
      <c r="F900" s="2">
        <v>0.0</v>
      </c>
      <c r="G900" s="2">
        <v>0.0</v>
      </c>
      <c r="H900" s="2">
        <v>0.0</v>
      </c>
    </row>
    <row r="901" ht="14.25" customHeight="1">
      <c r="A901" s="2" t="s">
        <v>114</v>
      </c>
      <c r="B901" s="2" t="s">
        <v>214</v>
      </c>
      <c r="C901" s="2" t="s">
        <v>92</v>
      </c>
      <c r="D901" s="2">
        <v>0.0</v>
      </c>
      <c r="E901" s="2">
        <v>0.0</v>
      </c>
      <c r="F901" s="2">
        <v>0.0</v>
      </c>
      <c r="G901" s="2">
        <v>0.0</v>
      </c>
      <c r="H901" s="2">
        <v>0.0</v>
      </c>
    </row>
    <row r="902" ht="14.25" customHeight="1">
      <c r="A902" s="2" t="s">
        <v>114</v>
      </c>
      <c r="B902" s="2" t="s">
        <v>214</v>
      </c>
      <c r="C902" s="2" t="s">
        <v>92</v>
      </c>
      <c r="D902" s="2">
        <v>0.0</v>
      </c>
      <c r="E902" s="2">
        <v>0.0</v>
      </c>
      <c r="F902" s="2">
        <v>0.0</v>
      </c>
      <c r="G902" s="2">
        <v>0.0</v>
      </c>
      <c r="H902" s="2">
        <v>0.0</v>
      </c>
    </row>
    <row r="903" ht="14.25" customHeight="1">
      <c r="A903" s="2" t="s">
        <v>114</v>
      </c>
      <c r="B903" s="2" t="s">
        <v>214</v>
      </c>
      <c r="C903" s="2" t="s">
        <v>63</v>
      </c>
      <c r="D903" s="2">
        <v>0.0</v>
      </c>
      <c r="E903" s="2">
        <v>0.0</v>
      </c>
      <c r="F903" s="2">
        <v>0.0</v>
      </c>
      <c r="G903" s="2">
        <v>0.0</v>
      </c>
      <c r="H903" s="2">
        <v>0.0</v>
      </c>
    </row>
    <row r="904" ht="14.25" customHeight="1">
      <c r="A904" s="2" t="s">
        <v>114</v>
      </c>
      <c r="B904" s="2" t="s">
        <v>214</v>
      </c>
      <c r="C904" s="2" t="s">
        <v>64</v>
      </c>
      <c r="D904" s="2">
        <v>0.0</v>
      </c>
      <c r="E904" s="2">
        <v>0.0</v>
      </c>
      <c r="F904" s="2">
        <v>0.0</v>
      </c>
      <c r="G904" s="2">
        <v>0.0</v>
      </c>
      <c r="H904" s="2">
        <v>0.0</v>
      </c>
    </row>
    <row r="905" ht="14.25" customHeight="1">
      <c r="A905" s="2" t="s">
        <v>114</v>
      </c>
      <c r="B905" s="2" t="s">
        <v>214</v>
      </c>
      <c r="C905" s="2" t="s">
        <v>65</v>
      </c>
      <c r="D905" s="2">
        <v>0.0</v>
      </c>
      <c r="E905" s="2">
        <v>0.0</v>
      </c>
      <c r="F905" s="2">
        <v>0.0</v>
      </c>
      <c r="G905" s="2">
        <v>0.0</v>
      </c>
      <c r="H905" s="2">
        <v>0.0</v>
      </c>
    </row>
    <row r="906" ht="14.25" customHeight="1">
      <c r="A906" s="2" t="s">
        <v>114</v>
      </c>
      <c r="B906" s="2" t="s">
        <v>214</v>
      </c>
      <c r="C906" s="2" t="s">
        <v>66</v>
      </c>
      <c r="D906" s="2">
        <v>0.0</v>
      </c>
      <c r="E906" s="2">
        <v>0.0</v>
      </c>
      <c r="F906" s="2">
        <v>0.0</v>
      </c>
      <c r="G906" s="2">
        <v>0.0</v>
      </c>
      <c r="H906" s="2">
        <v>0.0</v>
      </c>
    </row>
    <row r="907" ht="14.25" customHeight="1">
      <c r="A907" s="2" t="s">
        <v>114</v>
      </c>
      <c r="B907" s="2" t="s">
        <v>214</v>
      </c>
      <c r="C907" s="2" t="s">
        <v>67</v>
      </c>
      <c r="D907" s="2">
        <v>0.0</v>
      </c>
      <c r="E907" s="2">
        <v>0.0</v>
      </c>
      <c r="F907" s="2">
        <v>0.0</v>
      </c>
      <c r="G907" s="2">
        <v>0.0</v>
      </c>
      <c r="H907" s="2">
        <v>0.0</v>
      </c>
    </row>
    <row r="908" ht="14.25" customHeight="1">
      <c r="A908" s="2" t="s">
        <v>114</v>
      </c>
      <c r="B908" s="2" t="s">
        <v>214</v>
      </c>
      <c r="C908" s="2" t="s">
        <v>68</v>
      </c>
      <c r="D908" s="2">
        <v>0.0</v>
      </c>
      <c r="E908" s="2">
        <v>0.0</v>
      </c>
      <c r="F908" s="2">
        <v>0.0</v>
      </c>
      <c r="G908" s="2">
        <v>0.0</v>
      </c>
      <c r="H908" s="2">
        <v>0.0</v>
      </c>
    </row>
    <row r="909" ht="14.25" customHeight="1">
      <c r="A909" s="2" t="s">
        <v>114</v>
      </c>
      <c r="B909" s="2" t="s">
        <v>22</v>
      </c>
      <c r="C909" s="2" t="s">
        <v>10</v>
      </c>
      <c r="D909" s="2">
        <v>68200.57447043185</v>
      </c>
      <c r="E909" s="2">
        <v>297.91020680514</v>
      </c>
      <c r="F909" s="2">
        <v>1765991.147423044</v>
      </c>
      <c r="G909" s="2">
        <v>802.308777765392</v>
      </c>
      <c r="H909" s="2">
        <v>25.3336875697227</v>
      </c>
    </row>
    <row r="910" ht="14.25" customHeight="1">
      <c r="A910" s="2" t="s">
        <v>114</v>
      </c>
      <c r="B910" s="2" t="s">
        <v>23</v>
      </c>
      <c r="C910" s="2" t="s">
        <v>10</v>
      </c>
      <c r="D910" s="2">
        <v>0.0</v>
      </c>
      <c r="E910" s="2">
        <v>0.0</v>
      </c>
      <c r="F910" s="2">
        <v>0.0</v>
      </c>
      <c r="G910" s="2">
        <v>0.0</v>
      </c>
      <c r="H910" s="2">
        <v>0.0</v>
      </c>
    </row>
    <row r="911" ht="14.25" customHeight="1">
      <c r="A911" s="2" t="s">
        <v>114</v>
      </c>
      <c r="B911" s="2" t="s">
        <v>29</v>
      </c>
      <c r="C911" s="2" t="s">
        <v>10</v>
      </c>
      <c r="D911" s="2">
        <v>0.0</v>
      </c>
      <c r="E911" s="2">
        <v>0.0</v>
      </c>
      <c r="F911" s="2">
        <v>0.0</v>
      </c>
      <c r="G911" s="2">
        <v>0.0</v>
      </c>
      <c r="H911" s="2">
        <v>0.0</v>
      </c>
    </row>
    <row r="912" ht="14.25" customHeight="1">
      <c r="A912" s="2" t="s">
        <v>114</v>
      </c>
      <c r="B912" s="2" t="s">
        <v>18</v>
      </c>
      <c r="C912" s="2" t="s">
        <v>10</v>
      </c>
      <c r="D912" s="2">
        <v>0.0</v>
      </c>
      <c r="E912" s="2">
        <v>0.0</v>
      </c>
      <c r="F912" s="2">
        <v>0.0</v>
      </c>
      <c r="G912" s="2">
        <v>0.0</v>
      </c>
      <c r="H912" s="2">
        <v>0.0</v>
      </c>
    </row>
    <row r="913" ht="14.25" customHeight="1">
      <c r="A913" s="2" t="s">
        <v>115</v>
      </c>
      <c r="B913" s="2" t="s">
        <v>21</v>
      </c>
      <c r="C913" s="2" t="s">
        <v>41</v>
      </c>
      <c r="D913" s="2">
        <v>4104.3320127936</v>
      </c>
      <c r="E913" s="2">
        <v>183.764193564</v>
      </c>
      <c r="F913" s="2">
        <v>43769.6484076992</v>
      </c>
      <c r="G913" s="2">
        <v>44.6797254288</v>
      </c>
      <c r="H913" s="2">
        <v>0.2624995195116</v>
      </c>
    </row>
    <row r="914" ht="14.25" customHeight="1">
      <c r="A914" s="2" t="s">
        <v>115</v>
      </c>
      <c r="B914" s="2" t="s">
        <v>21</v>
      </c>
      <c r="C914" s="2" t="s">
        <v>41</v>
      </c>
      <c r="D914" s="2">
        <v>283.58687763432</v>
      </c>
      <c r="E914" s="2">
        <v>1.2233157648</v>
      </c>
      <c r="F914" s="2">
        <v>22688.55125609304</v>
      </c>
      <c r="G914" s="2">
        <v>8.71354094106</v>
      </c>
      <c r="H914" s="2">
        <v>0.01208763092217</v>
      </c>
    </row>
    <row r="915" ht="14.25" customHeight="1">
      <c r="A915" s="2" t="s">
        <v>115</v>
      </c>
      <c r="B915" s="2" t="s">
        <v>21</v>
      </c>
      <c r="C915" s="2" t="s">
        <v>41</v>
      </c>
      <c r="D915" s="2">
        <v>5481.406208796</v>
      </c>
      <c r="E915" s="2">
        <v>14.84180304</v>
      </c>
      <c r="F915" s="2">
        <v>101399.875877412</v>
      </c>
      <c r="G915" s="2">
        <v>80.134570293</v>
      </c>
      <c r="H915" s="2">
        <v>0.1510626630885</v>
      </c>
    </row>
    <row r="916" ht="14.25" customHeight="1">
      <c r="A916" s="2" t="s">
        <v>115</v>
      </c>
      <c r="B916" s="2" t="s">
        <v>21</v>
      </c>
      <c r="C916" s="2" t="s">
        <v>41</v>
      </c>
      <c r="D916" s="2">
        <v>7109.256300408</v>
      </c>
      <c r="E916" s="2">
        <v>1.64712672</v>
      </c>
      <c r="F916" s="2">
        <v>160871.212579176</v>
      </c>
      <c r="G916" s="2">
        <v>94.644319914</v>
      </c>
      <c r="H916" s="2">
        <v>0.040961595573</v>
      </c>
    </row>
    <row r="917" ht="14.25" customHeight="1">
      <c r="A917" s="2" t="s">
        <v>115</v>
      </c>
      <c r="B917" s="2" t="s">
        <v>21</v>
      </c>
      <c r="C917" s="2" t="s">
        <v>41</v>
      </c>
      <c r="D917" s="2">
        <v>0.0</v>
      </c>
      <c r="E917" s="2">
        <v>0.0</v>
      </c>
      <c r="F917" s="2">
        <v>0.0</v>
      </c>
      <c r="G917" s="2">
        <v>0.0</v>
      </c>
      <c r="H917" s="2">
        <v>0.0</v>
      </c>
    </row>
    <row r="918" ht="14.25" customHeight="1">
      <c r="A918" s="2" t="s">
        <v>115</v>
      </c>
      <c r="B918" s="2" t="s">
        <v>21</v>
      </c>
      <c r="C918" s="2" t="s">
        <v>42</v>
      </c>
      <c r="D918" s="2">
        <v>290.37987784224</v>
      </c>
      <c r="E918" s="2">
        <v>2.5050522576</v>
      </c>
      <c r="F918" s="2">
        <v>4408.08149903328</v>
      </c>
      <c r="G918" s="2">
        <v>2.30999839032</v>
      </c>
      <c r="H918" s="2">
        <v>0.00795107672844</v>
      </c>
    </row>
    <row r="919" ht="14.25" customHeight="1">
      <c r="A919" s="2" t="s">
        <v>115</v>
      </c>
      <c r="B919" s="2" t="s">
        <v>21</v>
      </c>
      <c r="C919" s="2" t="s">
        <v>43</v>
      </c>
      <c r="D919" s="2">
        <v>998.164439904</v>
      </c>
      <c r="E919" s="2">
        <v>2.60400812</v>
      </c>
      <c r="F919" s="2">
        <v>18349.845244488</v>
      </c>
      <c r="G919" s="2">
        <v>15.241492517</v>
      </c>
      <c r="H919" s="2">
        <v>0.024663006424</v>
      </c>
    </row>
    <row r="920" ht="14.25" customHeight="1">
      <c r="A920" s="2" t="s">
        <v>115</v>
      </c>
      <c r="B920" s="2" t="s">
        <v>21</v>
      </c>
      <c r="C920" s="2" t="s">
        <v>43</v>
      </c>
      <c r="D920" s="2">
        <v>552.90263637504</v>
      </c>
      <c r="E920" s="2">
        <v>2.1676289152</v>
      </c>
      <c r="F920" s="2">
        <v>12057.50543666688</v>
      </c>
      <c r="G920" s="2">
        <v>6.92845551232</v>
      </c>
      <c r="H920" s="2">
        <v>0.02212414121024</v>
      </c>
    </row>
    <row r="921" ht="14.25" customHeight="1">
      <c r="A921" s="2" t="s">
        <v>115</v>
      </c>
      <c r="B921" s="2" t="s">
        <v>21</v>
      </c>
      <c r="C921" s="2" t="s">
        <v>43</v>
      </c>
      <c r="D921" s="2">
        <v>276.617204847936</v>
      </c>
      <c r="E921" s="2">
        <v>0.72151915296</v>
      </c>
      <c r="F921" s="2">
        <v>5088.870734092992</v>
      </c>
      <c r="G921" s="2">
        <v>4.252468124208</v>
      </c>
      <c r="H921" s="2">
        <v>0.006873907466616</v>
      </c>
    </row>
    <row r="922" ht="14.25" customHeight="1">
      <c r="A922" s="2" t="s">
        <v>115</v>
      </c>
      <c r="B922" s="2" t="s">
        <v>21</v>
      </c>
      <c r="C922" s="2" t="s">
        <v>57</v>
      </c>
      <c r="D922" s="2">
        <v>17.863303887</v>
      </c>
      <c r="E922" s="2">
        <v>0.00460538325</v>
      </c>
      <c r="F922" s="2">
        <v>285.12402764625</v>
      </c>
      <c r="G922" s="2">
        <v>0.445997725875</v>
      </c>
      <c r="H922" s="2">
        <v>0.00478456875</v>
      </c>
    </row>
    <row r="923" ht="14.25" customHeight="1">
      <c r="A923" s="2" t="s">
        <v>115</v>
      </c>
      <c r="B923" s="2" t="s">
        <v>21</v>
      </c>
      <c r="C923" s="2" t="s">
        <v>58</v>
      </c>
      <c r="D923" s="2">
        <v>4195.950252</v>
      </c>
      <c r="E923" s="2">
        <v>15.6621764</v>
      </c>
      <c r="F923" s="2">
        <v>135511.9331696</v>
      </c>
      <c r="G923" s="2">
        <v>117.84470048</v>
      </c>
      <c r="H923" s="2">
        <v>0.269719944</v>
      </c>
    </row>
    <row r="924" ht="14.25" customHeight="1">
      <c r="A924" s="2" t="s">
        <v>115</v>
      </c>
      <c r="B924" s="2" t="s">
        <v>21</v>
      </c>
      <c r="C924" s="2" t="s">
        <v>94</v>
      </c>
      <c r="D924" s="2">
        <v>186.185981892</v>
      </c>
      <c r="E924" s="2">
        <v>0.6949743244</v>
      </c>
      <c r="F924" s="2">
        <v>6013.0413422416</v>
      </c>
      <c r="G924" s="2">
        <v>5.22909709408</v>
      </c>
      <c r="H924" s="2">
        <v>0.011968224024</v>
      </c>
    </row>
    <row r="925" ht="14.25" customHeight="1">
      <c r="A925" s="2" t="s">
        <v>115</v>
      </c>
      <c r="B925" s="2" t="s">
        <v>21</v>
      </c>
      <c r="C925" s="2" t="s">
        <v>44</v>
      </c>
      <c r="D925" s="2">
        <v>837.44653523076</v>
      </c>
      <c r="E925" s="2">
        <v>11.09101214844</v>
      </c>
      <c r="F925" s="2">
        <v>21933.947491848</v>
      </c>
      <c r="G925" s="2">
        <v>110.25547993152</v>
      </c>
      <c r="H925" s="2">
        <v>9.86103165852</v>
      </c>
    </row>
    <row r="926" ht="14.25" customHeight="1">
      <c r="A926" s="2" t="s">
        <v>115</v>
      </c>
      <c r="B926" s="2" t="s">
        <v>21</v>
      </c>
      <c r="C926" s="2" t="s">
        <v>45</v>
      </c>
      <c r="D926" s="2">
        <v>232.237307832</v>
      </c>
      <c r="E926" s="2">
        <v>0.76456557339</v>
      </c>
      <c r="F926" s="2">
        <v>9047.3565101745</v>
      </c>
      <c r="G926" s="2">
        <v>5.4946278318</v>
      </c>
      <c r="H926" s="2">
        <v>0.0127246577949</v>
      </c>
    </row>
    <row r="927" ht="14.25" customHeight="1">
      <c r="A927" s="2" t="s">
        <v>115</v>
      </c>
      <c r="B927" s="2" t="s">
        <v>21</v>
      </c>
      <c r="C927" s="2" t="s">
        <v>59</v>
      </c>
      <c r="D927" s="2">
        <v>0.0</v>
      </c>
      <c r="E927" s="2">
        <v>0.0</v>
      </c>
      <c r="F927" s="2">
        <v>0.0</v>
      </c>
      <c r="G927" s="2">
        <v>0.0</v>
      </c>
      <c r="H927" s="2">
        <v>0.0</v>
      </c>
    </row>
    <row r="928" ht="14.25" customHeight="1">
      <c r="A928" s="2" t="s">
        <v>115</v>
      </c>
      <c r="B928" s="2" t="s">
        <v>212</v>
      </c>
      <c r="C928" s="2" t="s">
        <v>41</v>
      </c>
      <c r="D928" s="2">
        <v>0.0</v>
      </c>
      <c r="E928" s="2">
        <v>0.0</v>
      </c>
      <c r="F928" s="2">
        <v>0.0</v>
      </c>
      <c r="G928" s="2">
        <v>0.0</v>
      </c>
      <c r="H928" s="2">
        <v>0.0</v>
      </c>
    </row>
    <row r="929" ht="14.25" customHeight="1">
      <c r="A929" s="2" t="s">
        <v>115</v>
      </c>
      <c r="B929" s="2" t="s">
        <v>212</v>
      </c>
      <c r="C929" s="2" t="s">
        <v>41</v>
      </c>
      <c r="D929" s="2">
        <v>0.0</v>
      </c>
      <c r="E929" s="2">
        <v>0.0</v>
      </c>
      <c r="F929" s="2">
        <v>0.0</v>
      </c>
      <c r="G929" s="2">
        <v>0.0</v>
      </c>
      <c r="H929" s="2">
        <v>0.0</v>
      </c>
    </row>
    <row r="930" ht="14.25" customHeight="1">
      <c r="A930" s="2" t="s">
        <v>115</v>
      </c>
      <c r="B930" s="2" t="s">
        <v>212</v>
      </c>
      <c r="C930" s="2" t="s">
        <v>41</v>
      </c>
      <c r="D930" s="2">
        <v>0.0</v>
      </c>
      <c r="E930" s="2">
        <v>0.0</v>
      </c>
      <c r="F930" s="2">
        <v>0.0</v>
      </c>
      <c r="G930" s="2">
        <v>0.0</v>
      </c>
      <c r="H930" s="2">
        <v>0.0</v>
      </c>
    </row>
    <row r="931" ht="14.25" customHeight="1">
      <c r="A931" s="2" t="s">
        <v>115</v>
      </c>
      <c r="B931" s="2" t="s">
        <v>212</v>
      </c>
      <c r="C931" s="2" t="s">
        <v>41</v>
      </c>
      <c r="D931" s="2">
        <v>0.0</v>
      </c>
      <c r="E931" s="2">
        <v>0.0</v>
      </c>
      <c r="F931" s="2">
        <v>0.0</v>
      </c>
      <c r="G931" s="2">
        <v>0.0</v>
      </c>
      <c r="H931" s="2">
        <v>0.0</v>
      </c>
    </row>
    <row r="932" ht="14.25" customHeight="1">
      <c r="A932" s="2" t="s">
        <v>115</v>
      </c>
      <c r="B932" s="2" t="s">
        <v>212</v>
      </c>
      <c r="C932" s="2" t="s">
        <v>41</v>
      </c>
      <c r="D932" s="2">
        <v>0.0</v>
      </c>
      <c r="E932" s="2">
        <v>0.0</v>
      </c>
      <c r="F932" s="2">
        <v>0.0</v>
      </c>
      <c r="G932" s="2">
        <v>0.0</v>
      </c>
      <c r="H932" s="2">
        <v>0.0</v>
      </c>
    </row>
    <row r="933" ht="14.25" customHeight="1">
      <c r="A933" s="2" t="s">
        <v>115</v>
      </c>
      <c r="B933" s="2" t="s">
        <v>212</v>
      </c>
      <c r="C933" s="2" t="s">
        <v>42</v>
      </c>
      <c r="D933" s="2">
        <v>0.0</v>
      </c>
      <c r="E933" s="2">
        <v>0.0</v>
      </c>
      <c r="F933" s="2">
        <v>0.0</v>
      </c>
      <c r="G933" s="2">
        <v>0.0</v>
      </c>
      <c r="H933" s="2">
        <v>0.0</v>
      </c>
    </row>
    <row r="934" ht="14.25" customHeight="1">
      <c r="A934" s="2" t="s">
        <v>115</v>
      </c>
      <c r="B934" s="2" t="s">
        <v>212</v>
      </c>
      <c r="C934" s="2" t="s">
        <v>43</v>
      </c>
      <c r="D934" s="2">
        <v>0.0</v>
      </c>
      <c r="E934" s="2">
        <v>0.0</v>
      </c>
      <c r="F934" s="2">
        <v>0.0</v>
      </c>
      <c r="G934" s="2">
        <v>0.0</v>
      </c>
      <c r="H934" s="2">
        <v>0.0</v>
      </c>
    </row>
    <row r="935" ht="14.25" customHeight="1">
      <c r="A935" s="2" t="s">
        <v>115</v>
      </c>
      <c r="B935" s="2" t="s">
        <v>212</v>
      </c>
      <c r="C935" s="2" t="s">
        <v>43</v>
      </c>
      <c r="D935" s="2">
        <v>0.0</v>
      </c>
      <c r="E935" s="2">
        <v>0.0</v>
      </c>
      <c r="F935" s="2">
        <v>0.0</v>
      </c>
      <c r="G935" s="2">
        <v>0.0</v>
      </c>
      <c r="H935" s="2">
        <v>0.0</v>
      </c>
    </row>
    <row r="936" ht="14.25" customHeight="1">
      <c r="A936" s="2" t="s">
        <v>115</v>
      </c>
      <c r="B936" s="2" t="s">
        <v>212</v>
      </c>
      <c r="C936" s="2" t="s">
        <v>43</v>
      </c>
      <c r="D936" s="2">
        <v>0.0</v>
      </c>
      <c r="E936" s="2">
        <v>0.0</v>
      </c>
      <c r="F936" s="2">
        <v>0.0</v>
      </c>
      <c r="G936" s="2">
        <v>0.0</v>
      </c>
      <c r="H936" s="2">
        <v>0.0</v>
      </c>
    </row>
    <row r="937" ht="14.25" customHeight="1">
      <c r="A937" s="2" t="s">
        <v>115</v>
      </c>
      <c r="B937" s="2" t="s">
        <v>212</v>
      </c>
      <c r="C937" s="2" t="s">
        <v>57</v>
      </c>
      <c r="D937" s="2">
        <v>0.0</v>
      </c>
      <c r="E937" s="2">
        <v>0.0</v>
      </c>
      <c r="F937" s="2">
        <v>0.0</v>
      </c>
      <c r="G937" s="2">
        <v>0.0</v>
      </c>
      <c r="H937" s="2">
        <v>0.0</v>
      </c>
    </row>
    <row r="938" ht="14.25" customHeight="1">
      <c r="A938" s="2" t="s">
        <v>115</v>
      </c>
      <c r="B938" s="2" t="s">
        <v>212</v>
      </c>
      <c r="C938" s="2" t="s">
        <v>58</v>
      </c>
      <c r="D938" s="2">
        <v>0.0</v>
      </c>
      <c r="E938" s="2">
        <v>0.0</v>
      </c>
      <c r="F938" s="2">
        <v>0.0</v>
      </c>
      <c r="G938" s="2">
        <v>0.0</v>
      </c>
      <c r="H938" s="2">
        <v>0.0</v>
      </c>
    </row>
    <row r="939" ht="14.25" customHeight="1">
      <c r="A939" s="2" t="s">
        <v>115</v>
      </c>
      <c r="B939" s="2" t="s">
        <v>212</v>
      </c>
      <c r="C939" s="2" t="s">
        <v>94</v>
      </c>
      <c r="D939" s="2">
        <v>0.0</v>
      </c>
      <c r="E939" s="2">
        <v>0.0</v>
      </c>
      <c r="F939" s="2">
        <v>0.0</v>
      </c>
      <c r="G939" s="2">
        <v>0.0</v>
      </c>
      <c r="H939" s="2">
        <v>0.0</v>
      </c>
    </row>
    <row r="940" ht="14.25" customHeight="1">
      <c r="A940" s="2" t="s">
        <v>115</v>
      </c>
      <c r="B940" s="2" t="s">
        <v>212</v>
      </c>
      <c r="C940" s="2" t="s">
        <v>44</v>
      </c>
      <c r="D940" s="2">
        <v>0.0</v>
      </c>
      <c r="E940" s="2">
        <v>0.0</v>
      </c>
      <c r="F940" s="2">
        <v>0.0</v>
      </c>
      <c r="G940" s="2">
        <v>0.0</v>
      </c>
      <c r="H940" s="2">
        <v>0.0</v>
      </c>
    </row>
    <row r="941" ht="14.25" customHeight="1">
      <c r="A941" s="2" t="s">
        <v>115</v>
      </c>
      <c r="B941" s="2" t="s">
        <v>212</v>
      </c>
      <c r="C941" s="2" t="s">
        <v>45</v>
      </c>
      <c r="D941" s="2">
        <v>0.0</v>
      </c>
      <c r="E941" s="2">
        <v>0.0</v>
      </c>
      <c r="F941" s="2">
        <v>0.0</v>
      </c>
      <c r="G941" s="2">
        <v>0.0</v>
      </c>
      <c r="H941" s="2">
        <v>0.0</v>
      </c>
    </row>
    <row r="942" ht="14.25" customHeight="1">
      <c r="A942" s="2" t="s">
        <v>115</v>
      </c>
      <c r="B942" s="2" t="s">
        <v>212</v>
      </c>
      <c r="C942" s="2" t="s">
        <v>59</v>
      </c>
      <c r="D942" s="2">
        <v>0.0</v>
      </c>
      <c r="E942" s="2">
        <v>0.0</v>
      </c>
      <c r="F942" s="2">
        <v>0.0</v>
      </c>
      <c r="G942" s="2">
        <v>0.0</v>
      </c>
      <c r="H942" s="2">
        <v>0.0</v>
      </c>
    </row>
    <row r="943" ht="14.25" customHeight="1">
      <c r="A943" s="2" t="s">
        <v>115</v>
      </c>
      <c r="B943" s="2" t="s">
        <v>21</v>
      </c>
      <c r="C943" s="2" t="s">
        <v>10</v>
      </c>
      <c r="D943" s="2">
        <v>24566.3289394429</v>
      </c>
      <c r="E943" s="2">
        <v>237.69198136404</v>
      </c>
      <c r="F943" s="2">
        <v>541424.9935761717</v>
      </c>
      <c r="G943" s="2">
        <v>496.174474183983</v>
      </c>
      <c r="H943" s="2">
        <v>10.68845259401347</v>
      </c>
    </row>
    <row r="944" ht="14.25" customHeight="1">
      <c r="A944" s="2" t="s">
        <v>115</v>
      </c>
      <c r="B944" s="2" t="s">
        <v>22</v>
      </c>
      <c r="C944" s="2" t="s">
        <v>10</v>
      </c>
      <c r="D944" s="2">
        <v>0.0</v>
      </c>
      <c r="E944" s="2">
        <v>0.0</v>
      </c>
      <c r="F944" s="2">
        <v>0.0</v>
      </c>
      <c r="G944" s="2">
        <v>0.0</v>
      </c>
      <c r="H944" s="2">
        <v>0.0</v>
      </c>
    </row>
    <row r="945" ht="14.25" customHeight="1">
      <c r="A945" s="2" t="s">
        <v>116</v>
      </c>
      <c r="B945" s="2" t="s">
        <v>9</v>
      </c>
      <c r="C945" s="2" t="s">
        <v>10</v>
      </c>
      <c r="D945" s="2">
        <v>0.0</v>
      </c>
      <c r="E945" s="2">
        <v>0.0</v>
      </c>
      <c r="F945" s="2">
        <v>0.0</v>
      </c>
      <c r="G945" s="2">
        <v>0.0</v>
      </c>
      <c r="H945" s="2">
        <v>0.0</v>
      </c>
    </row>
    <row r="946" ht="14.25" customHeight="1">
      <c r="A946" s="2" t="s">
        <v>116</v>
      </c>
      <c r="B946" s="2" t="s">
        <v>11</v>
      </c>
      <c r="C946" s="2" t="s">
        <v>12</v>
      </c>
      <c r="D946" s="2">
        <v>196.0275572581201</v>
      </c>
      <c r="E946" s="2">
        <v>0.05265314805683</v>
      </c>
      <c r="F946" s="2">
        <v>2566.999173708475</v>
      </c>
      <c r="G946" s="2">
        <v>1.3976804968828</v>
      </c>
      <c r="H946" s="2">
        <v>0.00631474474067352</v>
      </c>
    </row>
    <row r="947" ht="14.25" customHeight="1">
      <c r="A947" s="2" t="s">
        <v>116</v>
      </c>
      <c r="B947" s="2" t="s">
        <v>11</v>
      </c>
      <c r="C947" s="2" t="s">
        <v>12</v>
      </c>
      <c r="D947" s="2">
        <v>40.1518872956048</v>
      </c>
      <c r="E947" s="2">
        <v>0.07894396775984</v>
      </c>
      <c r="F947" s="2">
        <v>1125.4685249084</v>
      </c>
      <c r="G947" s="2">
        <v>0.3724498753344</v>
      </c>
      <c r="H947" s="2">
        <v>8.9710059469696E-4</v>
      </c>
    </row>
    <row r="948" ht="14.25" customHeight="1">
      <c r="A948" s="2" t="s">
        <v>116</v>
      </c>
      <c r="B948" s="2" t="s">
        <v>11</v>
      </c>
      <c r="C948" s="2" t="s">
        <v>12</v>
      </c>
      <c r="D948" s="2">
        <v>31.2502222470636</v>
      </c>
      <c r="E948" s="2">
        <v>0.097517248257</v>
      </c>
      <c r="F948" s="2">
        <v>672.6762196313192</v>
      </c>
      <c r="G948" s="2">
        <v>0.3435877369188</v>
      </c>
      <c r="H948" s="2">
        <v>0.0017851414331586</v>
      </c>
    </row>
    <row r="949" ht="14.25" customHeight="1">
      <c r="A949" s="2" t="s">
        <v>116</v>
      </c>
      <c r="B949" s="2" t="s">
        <v>11</v>
      </c>
      <c r="C949" s="2" t="s">
        <v>13</v>
      </c>
      <c r="D949" s="2">
        <v>135.60615122736</v>
      </c>
      <c r="E949" s="2">
        <v>0.634912749042</v>
      </c>
      <c r="F949" s="2">
        <v>2669.6149772259</v>
      </c>
      <c r="G949" s="2">
        <v>2.423393960713</v>
      </c>
      <c r="H949" s="2">
        <v>0.039423309834557</v>
      </c>
    </row>
    <row r="950" ht="14.25" customHeight="1">
      <c r="A950" s="2" t="s">
        <v>116</v>
      </c>
      <c r="B950" s="2" t="s">
        <v>11</v>
      </c>
      <c r="C950" s="2" t="s">
        <v>14</v>
      </c>
      <c r="D950" s="2">
        <v>30.1127198959314</v>
      </c>
      <c r="E950" s="2">
        <v>0.0736000179915</v>
      </c>
      <c r="F950" s="2">
        <v>595.9334099299308</v>
      </c>
      <c r="G950" s="2">
        <v>0.3571317898512</v>
      </c>
      <c r="H950" s="2">
        <v>0.0015275969012304</v>
      </c>
    </row>
    <row r="951" ht="14.25" customHeight="1">
      <c r="A951" s="2" t="s">
        <v>116</v>
      </c>
      <c r="B951" s="2" t="s">
        <v>11</v>
      </c>
      <c r="C951" s="2" t="s">
        <v>117</v>
      </c>
      <c r="D951" s="2">
        <v>253.6329887104</v>
      </c>
      <c r="E951" s="2">
        <v>0.17389998236</v>
      </c>
      <c r="F951" s="2">
        <v>3475.89029324368</v>
      </c>
      <c r="G951" s="2">
        <v>1.41435866364</v>
      </c>
      <c r="H951" s="2">
        <v>0.00657781373392</v>
      </c>
    </row>
    <row r="952" ht="14.25" customHeight="1">
      <c r="A952" s="2" t="s">
        <v>116</v>
      </c>
      <c r="B952" s="2" t="s">
        <v>11</v>
      </c>
      <c r="C952" s="2" t="s">
        <v>15</v>
      </c>
      <c r="D952" s="2">
        <v>3.472943690964</v>
      </c>
      <c r="E952" s="2">
        <v>0.28744291306</v>
      </c>
      <c r="F952" s="2">
        <v>70.136952894908</v>
      </c>
      <c r="G952" s="2">
        <v>0.088509864857</v>
      </c>
      <c r="H952" s="2">
        <v>1.991829797215E-4</v>
      </c>
    </row>
    <row r="953" ht="14.25" customHeight="1">
      <c r="A953" s="2" t="s">
        <v>116</v>
      </c>
      <c r="B953" s="2" t="s">
        <v>11</v>
      </c>
      <c r="C953" s="2" t="s">
        <v>12</v>
      </c>
      <c r="D953" s="2">
        <v>15.291015368</v>
      </c>
      <c r="E953" s="2">
        <v>0.02848127296</v>
      </c>
      <c r="F953" s="2">
        <v>456.8157455096</v>
      </c>
      <c r="G953" s="2">
        <v>0.15987346112</v>
      </c>
      <c r="H953" s="2">
        <v>3.80449464E-4</v>
      </c>
    </row>
    <row r="954" ht="14.25" customHeight="1">
      <c r="A954" s="2" t="s">
        <v>116</v>
      </c>
      <c r="B954" s="2" t="s">
        <v>11</v>
      </c>
      <c r="C954" s="2" t="s">
        <v>16</v>
      </c>
      <c r="D954" s="2">
        <v>40.9679576712</v>
      </c>
      <c r="E954" s="2">
        <v>0.5384049615</v>
      </c>
      <c r="F954" s="2">
        <v>1069.26258540465</v>
      </c>
      <c r="G954" s="2">
        <v>5.34535076444355</v>
      </c>
      <c r="H954" s="2">
        <v>0.4777656986021063</v>
      </c>
    </row>
    <row r="955" ht="14.25" customHeight="1">
      <c r="A955" s="2" t="s">
        <v>116</v>
      </c>
      <c r="B955" s="2" t="s">
        <v>11</v>
      </c>
      <c r="C955" s="2" t="s">
        <v>17</v>
      </c>
      <c r="D955" s="2">
        <v>12.94262121936</v>
      </c>
      <c r="E955" s="2">
        <v>0.0314560928544</v>
      </c>
      <c r="F955" s="2">
        <v>343.80724846272</v>
      </c>
      <c r="G955" s="2">
        <v>0.251966187912</v>
      </c>
      <c r="H955" s="2">
        <v>9.54059956704E-4</v>
      </c>
    </row>
    <row r="956" ht="14.25" customHeight="1">
      <c r="A956" s="2" t="s">
        <v>116</v>
      </c>
      <c r="B956" s="2" t="s">
        <v>208</v>
      </c>
      <c r="C956" s="2" t="s">
        <v>12</v>
      </c>
      <c r="D956" s="2">
        <v>0.0</v>
      </c>
      <c r="E956" s="2">
        <v>0.0</v>
      </c>
      <c r="F956" s="2">
        <v>0.0</v>
      </c>
      <c r="G956" s="2">
        <v>0.0</v>
      </c>
      <c r="H956" s="2">
        <v>0.0</v>
      </c>
    </row>
    <row r="957" ht="14.25" customHeight="1">
      <c r="A957" s="2" t="s">
        <v>116</v>
      </c>
      <c r="B957" s="2" t="s">
        <v>208</v>
      </c>
      <c r="C957" s="2" t="s">
        <v>12</v>
      </c>
      <c r="D957" s="2">
        <v>0.0</v>
      </c>
      <c r="E957" s="2">
        <v>0.0</v>
      </c>
      <c r="F957" s="2">
        <v>0.0</v>
      </c>
      <c r="G957" s="2">
        <v>0.0</v>
      </c>
      <c r="H957" s="2">
        <v>0.0</v>
      </c>
    </row>
    <row r="958" ht="14.25" customHeight="1">
      <c r="A958" s="2" t="s">
        <v>116</v>
      </c>
      <c r="B958" s="2" t="s">
        <v>208</v>
      </c>
      <c r="C958" s="2" t="s">
        <v>12</v>
      </c>
      <c r="D958" s="2">
        <v>0.0</v>
      </c>
      <c r="E958" s="2">
        <v>0.0</v>
      </c>
      <c r="F958" s="2">
        <v>0.0</v>
      </c>
      <c r="G958" s="2">
        <v>0.0</v>
      </c>
      <c r="H958" s="2">
        <v>0.0</v>
      </c>
    </row>
    <row r="959" ht="14.25" customHeight="1">
      <c r="A959" s="2" t="s">
        <v>116</v>
      </c>
      <c r="B959" s="2" t="s">
        <v>208</v>
      </c>
      <c r="C959" s="2" t="s">
        <v>13</v>
      </c>
      <c r="D959" s="2">
        <v>0.0</v>
      </c>
      <c r="E959" s="2">
        <v>0.0</v>
      </c>
      <c r="F959" s="2">
        <v>0.0</v>
      </c>
      <c r="G959" s="2">
        <v>0.0</v>
      </c>
      <c r="H959" s="2">
        <v>0.0</v>
      </c>
    </row>
    <row r="960" ht="14.25" customHeight="1">
      <c r="A960" s="2" t="s">
        <v>116</v>
      </c>
      <c r="B960" s="2" t="s">
        <v>208</v>
      </c>
      <c r="C960" s="2" t="s">
        <v>14</v>
      </c>
      <c r="D960" s="2">
        <v>0.0</v>
      </c>
      <c r="E960" s="2">
        <v>0.0</v>
      </c>
      <c r="F960" s="2">
        <v>0.0</v>
      </c>
      <c r="G960" s="2">
        <v>0.0</v>
      </c>
      <c r="H960" s="2">
        <v>0.0</v>
      </c>
    </row>
    <row r="961" ht="14.25" customHeight="1">
      <c r="A961" s="2" t="s">
        <v>116</v>
      </c>
      <c r="B961" s="2" t="s">
        <v>208</v>
      </c>
      <c r="C961" s="2" t="s">
        <v>117</v>
      </c>
      <c r="D961" s="2">
        <v>0.0</v>
      </c>
      <c r="E961" s="2">
        <v>0.0</v>
      </c>
      <c r="F961" s="2">
        <v>0.0</v>
      </c>
      <c r="G961" s="2">
        <v>0.0</v>
      </c>
      <c r="H961" s="2">
        <v>0.0</v>
      </c>
    </row>
    <row r="962" ht="14.25" customHeight="1">
      <c r="A962" s="2" t="s">
        <v>116</v>
      </c>
      <c r="B962" s="2" t="s">
        <v>208</v>
      </c>
      <c r="C962" s="2" t="s">
        <v>15</v>
      </c>
      <c r="D962" s="2">
        <v>0.0</v>
      </c>
      <c r="E962" s="2">
        <v>0.0</v>
      </c>
      <c r="F962" s="2">
        <v>0.0</v>
      </c>
      <c r="G962" s="2">
        <v>0.0</v>
      </c>
      <c r="H962" s="2">
        <v>0.0</v>
      </c>
    </row>
    <row r="963" ht="14.25" customHeight="1">
      <c r="A963" s="2" t="s">
        <v>116</v>
      </c>
      <c r="B963" s="2" t="s">
        <v>208</v>
      </c>
      <c r="C963" s="2" t="s">
        <v>12</v>
      </c>
      <c r="D963" s="2">
        <v>0.0</v>
      </c>
      <c r="E963" s="2">
        <v>0.0</v>
      </c>
      <c r="F963" s="2">
        <v>0.0</v>
      </c>
      <c r="G963" s="2">
        <v>0.0</v>
      </c>
      <c r="H963" s="2">
        <v>0.0</v>
      </c>
    </row>
    <row r="964" ht="14.25" customHeight="1">
      <c r="A964" s="2" t="s">
        <v>116</v>
      </c>
      <c r="B964" s="2" t="s">
        <v>208</v>
      </c>
      <c r="C964" s="2" t="s">
        <v>16</v>
      </c>
      <c r="D964" s="2">
        <v>0.0</v>
      </c>
      <c r="E964" s="2">
        <v>0.0</v>
      </c>
      <c r="F964" s="2">
        <v>0.0</v>
      </c>
      <c r="G964" s="2">
        <v>0.0</v>
      </c>
      <c r="H964" s="2">
        <v>0.0</v>
      </c>
    </row>
    <row r="965" ht="14.25" customHeight="1">
      <c r="A965" s="2" t="s">
        <v>116</v>
      </c>
      <c r="B965" s="2" t="s">
        <v>208</v>
      </c>
      <c r="C965" s="2" t="s">
        <v>17</v>
      </c>
      <c r="D965" s="2">
        <v>0.0</v>
      </c>
      <c r="E965" s="2">
        <v>0.0</v>
      </c>
      <c r="F965" s="2">
        <v>0.0</v>
      </c>
      <c r="G965" s="2">
        <v>0.0</v>
      </c>
      <c r="H965" s="2">
        <v>0.0</v>
      </c>
    </row>
    <row r="966" ht="14.25" customHeight="1">
      <c r="A966" s="2" t="s">
        <v>116</v>
      </c>
      <c r="B966" s="2" t="s">
        <v>11</v>
      </c>
      <c r="C966" s="2" t="s">
        <v>10</v>
      </c>
      <c r="D966" s="2">
        <v>759.4560645840039</v>
      </c>
      <c r="E966" s="2">
        <v>1.99731235384157</v>
      </c>
      <c r="F966" s="2">
        <v>13046.60513091958</v>
      </c>
      <c r="G966" s="2">
        <v>12.15430280167275</v>
      </c>
      <c r="H966" s="2">
        <v>0.5358250982407682</v>
      </c>
    </row>
    <row r="967" ht="14.25" customHeight="1">
      <c r="A967" s="2" t="s">
        <v>116</v>
      </c>
      <c r="B967" s="2" t="s">
        <v>18</v>
      </c>
      <c r="C967" s="2" t="s">
        <v>10</v>
      </c>
      <c r="D967" s="2">
        <v>0.0</v>
      </c>
      <c r="E967" s="2">
        <v>0.0</v>
      </c>
      <c r="F967" s="2">
        <v>0.0</v>
      </c>
      <c r="G967" s="2">
        <v>0.0</v>
      </c>
      <c r="H967" s="2">
        <v>0.0</v>
      </c>
    </row>
    <row r="968" ht="14.25" customHeight="1">
      <c r="A968" s="2" t="s">
        <v>118</v>
      </c>
      <c r="B968" s="2" t="s">
        <v>9</v>
      </c>
      <c r="C968" s="2" t="s">
        <v>10</v>
      </c>
      <c r="D968" s="2">
        <v>0.0</v>
      </c>
      <c r="E968" s="2">
        <v>0.0</v>
      </c>
      <c r="F968" s="2">
        <v>0.0</v>
      </c>
      <c r="G968" s="2">
        <v>0.0</v>
      </c>
      <c r="H968" s="2">
        <v>0.0</v>
      </c>
    </row>
    <row r="969" ht="14.25" customHeight="1">
      <c r="A969" s="2" t="s">
        <v>118</v>
      </c>
      <c r="B969" s="2" t="s">
        <v>11</v>
      </c>
      <c r="C969" s="2" t="s">
        <v>12</v>
      </c>
      <c r="D969" s="2">
        <v>196.0275572581201</v>
      </c>
      <c r="E969" s="2">
        <v>0.05265314805683</v>
      </c>
      <c r="F969" s="2">
        <v>2566.999173708475</v>
      </c>
      <c r="G969" s="2">
        <v>1.3976804968828</v>
      </c>
      <c r="H969" s="2">
        <v>0.00631474474067352</v>
      </c>
    </row>
    <row r="970" ht="14.25" customHeight="1">
      <c r="A970" s="2" t="s">
        <v>118</v>
      </c>
      <c r="B970" s="2" t="s">
        <v>11</v>
      </c>
      <c r="C970" s="2" t="s">
        <v>12</v>
      </c>
      <c r="D970" s="2">
        <v>40.1518872956048</v>
      </c>
      <c r="E970" s="2">
        <v>0.07894396775984</v>
      </c>
      <c r="F970" s="2">
        <v>1125.4685249084</v>
      </c>
      <c r="G970" s="2">
        <v>0.3724498753344</v>
      </c>
      <c r="H970" s="2">
        <v>8.9710059469696E-4</v>
      </c>
    </row>
    <row r="971" ht="14.25" customHeight="1">
      <c r="A971" s="2" t="s">
        <v>118</v>
      </c>
      <c r="B971" s="2" t="s">
        <v>11</v>
      </c>
      <c r="C971" s="2" t="s">
        <v>12</v>
      </c>
      <c r="D971" s="2">
        <v>31.1863821229884</v>
      </c>
      <c r="E971" s="2">
        <v>0.097347160009</v>
      </c>
      <c r="F971" s="2">
        <v>671.6114554029848</v>
      </c>
      <c r="G971" s="2">
        <v>0.3434666329072</v>
      </c>
      <c r="H971" s="2">
        <v>0.0017847303825824</v>
      </c>
    </row>
    <row r="972" ht="14.25" customHeight="1">
      <c r="A972" s="2" t="s">
        <v>118</v>
      </c>
      <c r="B972" s="2" t="s">
        <v>11</v>
      </c>
      <c r="C972" s="2" t="s">
        <v>13</v>
      </c>
      <c r="D972" s="2">
        <v>67.11039267636</v>
      </c>
      <c r="E972" s="2">
        <v>0.261177705712</v>
      </c>
      <c r="F972" s="2">
        <v>1603.1299095955</v>
      </c>
      <c r="G972" s="2">
        <v>0.745982009003</v>
      </c>
      <c r="H972" s="2">
        <v>0.001815409834557</v>
      </c>
    </row>
    <row r="973" ht="14.25" customHeight="1">
      <c r="A973" s="2" t="s">
        <v>118</v>
      </c>
      <c r="B973" s="2" t="s">
        <v>11</v>
      </c>
      <c r="C973" s="2" t="s">
        <v>14</v>
      </c>
      <c r="D973" s="2">
        <v>30.1127198959314</v>
      </c>
      <c r="E973" s="2">
        <v>0.0736000179915</v>
      </c>
      <c r="F973" s="2">
        <v>595.9334099299308</v>
      </c>
      <c r="G973" s="2">
        <v>0.3571317898512</v>
      </c>
      <c r="H973" s="2">
        <v>0.0015275969012304</v>
      </c>
    </row>
    <row r="974" ht="14.25" customHeight="1">
      <c r="A974" s="2" t="s">
        <v>118</v>
      </c>
      <c r="B974" s="2" t="s">
        <v>11</v>
      </c>
      <c r="C974" s="2" t="s">
        <v>117</v>
      </c>
      <c r="D974" s="2">
        <v>224.3676438592</v>
      </c>
      <c r="E974" s="2">
        <v>0.15383459978</v>
      </c>
      <c r="F974" s="2">
        <v>3074.82602863864</v>
      </c>
      <c r="G974" s="2">
        <v>1.25116343322</v>
      </c>
      <c r="H974" s="2">
        <v>0.00581883522616</v>
      </c>
    </row>
    <row r="975" ht="14.25" customHeight="1">
      <c r="A975" s="2" t="s">
        <v>118</v>
      </c>
      <c r="B975" s="2" t="s">
        <v>11</v>
      </c>
      <c r="C975" s="2" t="s">
        <v>15</v>
      </c>
      <c r="D975" s="2">
        <v>3.472943690964</v>
      </c>
      <c r="E975" s="2">
        <v>0.28744291306</v>
      </c>
      <c r="F975" s="2">
        <v>70.136952894908</v>
      </c>
      <c r="G975" s="2">
        <v>0.088509864857</v>
      </c>
      <c r="H975" s="2">
        <v>1.991829797215E-4</v>
      </c>
    </row>
    <row r="976" ht="14.25" customHeight="1">
      <c r="A976" s="2" t="s">
        <v>118</v>
      </c>
      <c r="B976" s="2" t="s">
        <v>11</v>
      </c>
      <c r="C976" s="2" t="s">
        <v>16</v>
      </c>
      <c r="D976" s="2">
        <v>40.9679576712</v>
      </c>
      <c r="E976" s="2">
        <v>0.5384049615</v>
      </c>
      <c r="F976" s="2">
        <v>1069.26258540465</v>
      </c>
      <c r="G976" s="2">
        <v>5.34535076444355</v>
      </c>
      <c r="H976" s="2">
        <v>0.4777656986021063</v>
      </c>
    </row>
    <row r="977" ht="14.25" customHeight="1">
      <c r="A977" s="2" t="s">
        <v>118</v>
      </c>
      <c r="B977" s="2" t="s">
        <v>11</v>
      </c>
      <c r="C977" s="2" t="s">
        <v>17</v>
      </c>
      <c r="D977" s="2">
        <v>12.94262121936</v>
      </c>
      <c r="E977" s="2">
        <v>0.0314560928544</v>
      </c>
      <c r="F977" s="2">
        <v>343.80724846272</v>
      </c>
      <c r="G977" s="2">
        <v>0.251966187912</v>
      </c>
      <c r="H977" s="2">
        <v>9.54059956704E-4</v>
      </c>
    </row>
    <row r="978" ht="14.25" customHeight="1">
      <c r="A978" s="2" t="s">
        <v>118</v>
      </c>
      <c r="B978" s="2" t="s">
        <v>208</v>
      </c>
      <c r="C978" s="2" t="s">
        <v>12</v>
      </c>
      <c r="D978" s="2">
        <v>0.0</v>
      </c>
      <c r="E978" s="2">
        <v>0.0</v>
      </c>
      <c r="F978" s="2">
        <v>0.0</v>
      </c>
      <c r="G978" s="2">
        <v>0.0</v>
      </c>
      <c r="H978" s="2">
        <v>0.0</v>
      </c>
    </row>
    <row r="979" ht="14.25" customHeight="1">
      <c r="A979" s="2" t="s">
        <v>118</v>
      </c>
      <c r="B979" s="2" t="s">
        <v>208</v>
      </c>
      <c r="C979" s="2" t="s">
        <v>12</v>
      </c>
      <c r="D979" s="2">
        <v>0.0</v>
      </c>
      <c r="E979" s="2">
        <v>0.0</v>
      </c>
      <c r="F979" s="2">
        <v>0.0</v>
      </c>
      <c r="G979" s="2">
        <v>0.0</v>
      </c>
      <c r="H979" s="2">
        <v>0.0</v>
      </c>
    </row>
    <row r="980" ht="14.25" customHeight="1">
      <c r="A980" s="2" t="s">
        <v>118</v>
      </c>
      <c r="B980" s="2" t="s">
        <v>208</v>
      </c>
      <c r="C980" s="2" t="s">
        <v>12</v>
      </c>
      <c r="D980" s="2">
        <v>0.0</v>
      </c>
      <c r="E980" s="2">
        <v>0.0</v>
      </c>
      <c r="F980" s="2">
        <v>0.0</v>
      </c>
      <c r="G980" s="2">
        <v>0.0</v>
      </c>
      <c r="H980" s="2">
        <v>0.0</v>
      </c>
    </row>
    <row r="981" ht="14.25" customHeight="1">
      <c r="A981" s="2" t="s">
        <v>118</v>
      </c>
      <c r="B981" s="2" t="s">
        <v>208</v>
      </c>
      <c r="C981" s="2" t="s">
        <v>13</v>
      </c>
      <c r="D981" s="2">
        <v>0.0</v>
      </c>
      <c r="E981" s="2">
        <v>0.0</v>
      </c>
      <c r="F981" s="2">
        <v>0.0</v>
      </c>
      <c r="G981" s="2">
        <v>0.0</v>
      </c>
      <c r="H981" s="2">
        <v>0.0</v>
      </c>
    </row>
    <row r="982" ht="14.25" customHeight="1">
      <c r="A982" s="2" t="s">
        <v>118</v>
      </c>
      <c r="B982" s="2" t="s">
        <v>208</v>
      </c>
      <c r="C982" s="2" t="s">
        <v>14</v>
      </c>
      <c r="D982" s="2">
        <v>0.0</v>
      </c>
      <c r="E982" s="2">
        <v>0.0</v>
      </c>
      <c r="F982" s="2">
        <v>0.0</v>
      </c>
      <c r="G982" s="2">
        <v>0.0</v>
      </c>
      <c r="H982" s="2">
        <v>0.0</v>
      </c>
    </row>
    <row r="983" ht="14.25" customHeight="1">
      <c r="A983" s="2" t="s">
        <v>118</v>
      </c>
      <c r="B983" s="2" t="s">
        <v>208</v>
      </c>
      <c r="C983" s="2" t="s">
        <v>117</v>
      </c>
      <c r="D983" s="2">
        <v>0.0</v>
      </c>
      <c r="E983" s="2">
        <v>0.0</v>
      </c>
      <c r="F983" s="2">
        <v>0.0</v>
      </c>
      <c r="G983" s="2">
        <v>0.0</v>
      </c>
      <c r="H983" s="2">
        <v>0.0</v>
      </c>
    </row>
    <row r="984" ht="14.25" customHeight="1">
      <c r="A984" s="2" t="s">
        <v>118</v>
      </c>
      <c r="B984" s="2" t="s">
        <v>208</v>
      </c>
      <c r="C984" s="2" t="s">
        <v>15</v>
      </c>
      <c r="D984" s="2">
        <v>0.0</v>
      </c>
      <c r="E984" s="2">
        <v>0.0</v>
      </c>
      <c r="F984" s="2">
        <v>0.0</v>
      </c>
      <c r="G984" s="2">
        <v>0.0</v>
      </c>
      <c r="H984" s="2">
        <v>0.0</v>
      </c>
    </row>
    <row r="985" ht="14.25" customHeight="1">
      <c r="A985" s="2" t="s">
        <v>118</v>
      </c>
      <c r="B985" s="2" t="s">
        <v>208</v>
      </c>
      <c r="C985" s="2" t="s">
        <v>16</v>
      </c>
      <c r="D985" s="2">
        <v>0.0</v>
      </c>
      <c r="E985" s="2">
        <v>0.0</v>
      </c>
      <c r="F985" s="2">
        <v>0.0</v>
      </c>
      <c r="G985" s="2">
        <v>0.0</v>
      </c>
      <c r="H985" s="2">
        <v>0.0</v>
      </c>
    </row>
    <row r="986" ht="14.25" customHeight="1">
      <c r="A986" s="2" t="s">
        <v>118</v>
      </c>
      <c r="B986" s="2" t="s">
        <v>208</v>
      </c>
      <c r="C986" s="2" t="s">
        <v>17</v>
      </c>
      <c r="D986" s="2">
        <v>0.0</v>
      </c>
      <c r="E986" s="2">
        <v>0.0</v>
      </c>
      <c r="F986" s="2">
        <v>0.0</v>
      </c>
      <c r="G986" s="2">
        <v>0.0</v>
      </c>
      <c r="H986" s="2">
        <v>0.0</v>
      </c>
    </row>
    <row r="987" ht="14.25" customHeight="1">
      <c r="A987" s="2" t="s">
        <v>118</v>
      </c>
      <c r="B987" s="2" t="s">
        <v>11</v>
      </c>
      <c r="C987" s="2" t="s">
        <v>10</v>
      </c>
      <c r="D987" s="2">
        <v>646.3401056897287</v>
      </c>
      <c r="E987" s="2">
        <v>1.57486056672357</v>
      </c>
      <c r="F987" s="2">
        <v>11121.17528894621</v>
      </c>
      <c r="G987" s="2">
        <v>10.15370105441115</v>
      </c>
      <c r="H987" s="2">
        <v>0.497077359218432</v>
      </c>
    </row>
    <row r="988" ht="14.25" customHeight="1">
      <c r="A988" s="2" t="s">
        <v>118</v>
      </c>
      <c r="B988" s="2" t="s">
        <v>18</v>
      </c>
      <c r="C988" s="2" t="s">
        <v>10</v>
      </c>
      <c r="D988" s="2">
        <v>0.0</v>
      </c>
      <c r="E988" s="2">
        <v>0.0</v>
      </c>
      <c r="F988" s="2">
        <v>0.0</v>
      </c>
      <c r="G988" s="2">
        <v>0.0</v>
      </c>
      <c r="H988" s="2">
        <v>0.0</v>
      </c>
    </row>
    <row r="989" ht="14.25" customHeight="1">
      <c r="A989" s="2" t="s">
        <v>119</v>
      </c>
      <c r="B989" s="2" t="s">
        <v>9</v>
      </c>
      <c r="C989" s="2" t="s">
        <v>10</v>
      </c>
      <c r="D989" s="2">
        <v>0.0</v>
      </c>
      <c r="E989" s="2">
        <v>0.0</v>
      </c>
      <c r="F989" s="2">
        <v>0.0</v>
      </c>
      <c r="G989" s="2">
        <v>0.0</v>
      </c>
      <c r="H989" s="2">
        <v>0.0</v>
      </c>
    </row>
    <row r="990" ht="14.25" customHeight="1">
      <c r="A990" s="2" t="s">
        <v>119</v>
      </c>
      <c r="B990" s="2" t="s">
        <v>11</v>
      </c>
      <c r="C990" s="2" t="s">
        <v>12</v>
      </c>
      <c r="D990" s="2">
        <v>196.0275572581201</v>
      </c>
      <c r="E990" s="2">
        <v>0.05265314805683</v>
      </c>
      <c r="F990" s="2">
        <v>2566.999173708475</v>
      </c>
      <c r="G990" s="2">
        <v>1.3976804968828</v>
      </c>
      <c r="H990" s="2">
        <v>0.00631474474067352</v>
      </c>
    </row>
    <row r="991" ht="14.25" customHeight="1">
      <c r="A991" s="2" t="s">
        <v>119</v>
      </c>
      <c r="B991" s="2" t="s">
        <v>11</v>
      </c>
      <c r="C991" s="2" t="s">
        <v>12</v>
      </c>
      <c r="D991" s="2">
        <v>40.1518872956048</v>
      </c>
      <c r="E991" s="2">
        <v>0.07894396775984</v>
      </c>
      <c r="F991" s="2">
        <v>1125.4685249084</v>
      </c>
      <c r="G991" s="2">
        <v>0.3724498753344</v>
      </c>
      <c r="H991" s="2">
        <v>8.9710059469696E-4</v>
      </c>
    </row>
    <row r="992" ht="14.25" customHeight="1">
      <c r="A992" s="2" t="s">
        <v>119</v>
      </c>
      <c r="B992" s="2" t="s">
        <v>11</v>
      </c>
      <c r="C992" s="2" t="s">
        <v>12</v>
      </c>
      <c r="D992" s="2">
        <v>31.1863821229884</v>
      </c>
      <c r="E992" s="2">
        <v>0.097347160009</v>
      </c>
      <c r="F992" s="2">
        <v>671.6114554029848</v>
      </c>
      <c r="G992" s="2">
        <v>0.3434666329072</v>
      </c>
      <c r="H992" s="2">
        <v>0.0017847303825824</v>
      </c>
    </row>
    <row r="993" ht="14.25" customHeight="1">
      <c r="A993" s="2" t="s">
        <v>119</v>
      </c>
      <c r="B993" s="2" t="s">
        <v>11</v>
      </c>
      <c r="C993" s="2" t="s">
        <v>13</v>
      </c>
      <c r="D993" s="2">
        <v>67.11039267636</v>
      </c>
      <c r="E993" s="2">
        <v>0.261177705712</v>
      </c>
      <c r="F993" s="2">
        <v>1603.1299095955</v>
      </c>
      <c r="G993" s="2">
        <v>0.745982009003</v>
      </c>
      <c r="H993" s="2">
        <v>0.001815409834557</v>
      </c>
    </row>
    <row r="994" ht="14.25" customHeight="1">
      <c r="A994" s="2" t="s">
        <v>119</v>
      </c>
      <c r="B994" s="2" t="s">
        <v>11</v>
      </c>
      <c r="C994" s="2" t="s">
        <v>14</v>
      </c>
      <c r="D994" s="2">
        <v>30.1127198959314</v>
      </c>
      <c r="E994" s="2">
        <v>0.0736000179915</v>
      </c>
      <c r="F994" s="2">
        <v>595.9334099299308</v>
      </c>
      <c r="G994" s="2">
        <v>0.3571317898512</v>
      </c>
      <c r="H994" s="2">
        <v>0.0015275969012304</v>
      </c>
    </row>
    <row r="995" ht="14.25" customHeight="1">
      <c r="A995" s="2" t="s">
        <v>119</v>
      </c>
      <c r="B995" s="2" t="s">
        <v>11</v>
      </c>
      <c r="C995" s="2" t="s">
        <v>117</v>
      </c>
      <c r="D995" s="2">
        <v>212.66150591872</v>
      </c>
      <c r="E995" s="2">
        <v>0.145808446748</v>
      </c>
      <c r="F995" s="2">
        <v>2914.400322796624</v>
      </c>
      <c r="G995" s="2">
        <v>1.185885341052</v>
      </c>
      <c r="H995" s="2">
        <v>0.005515243823056</v>
      </c>
    </row>
    <row r="996" ht="14.25" customHeight="1">
      <c r="A996" s="2" t="s">
        <v>119</v>
      </c>
      <c r="B996" s="2" t="s">
        <v>11</v>
      </c>
      <c r="C996" s="2" t="s">
        <v>15</v>
      </c>
      <c r="D996" s="2">
        <v>3.472943690964</v>
      </c>
      <c r="E996" s="2">
        <v>0.28744291306</v>
      </c>
      <c r="F996" s="2">
        <v>70.136952894908</v>
      </c>
      <c r="G996" s="2">
        <v>0.088509864857</v>
      </c>
      <c r="H996" s="2">
        <v>1.991829797215E-4</v>
      </c>
    </row>
    <row r="997" ht="14.25" customHeight="1">
      <c r="A997" s="2" t="s">
        <v>119</v>
      </c>
      <c r="B997" s="2" t="s">
        <v>11</v>
      </c>
      <c r="C997" s="2" t="s">
        <v>16</v>
      </c>
      <c r="D997" s="2">
        <v>40.9679576712</v>
      </c>
      <c r="E997" s="2">
        <v>0.5384049615</v>
      </c>
      <c r="F997" s="2">
        <v>1069.26258540465</v>
      </c>
      <c r="G997" s="2">
        <v>5.34535076444355</v>
      </c>
      <c r="H997" s="2">
        <v>0.4777656986021063</v>
      </c>
    </row>
    <row r="998" ht="14.25" customHeight="1">
      <c r="A998" s="2" t="s">
        <v>119</v>
      </c>
      <c r="B998" s="2" t="s">
        <v>11</v>
      </c>
      <c r="C998" s="2" t="s">
        <v>17</v>
      </c>
      <c r="D998" s="2">
        <v>12.94262121936</v>
      </c>
      <c r="E998" s="2">
        <v>0.0314560928544</v>
      </c>
      <c r="F998" s="2">
        <v>343.80724846272</v>
      </c>
      <c r="G998" s="2">
        <v>0.251966187912</v>
      </c>
      <c r="H998" s="2">
        <v>9.54059956704E-4</v>
      </c>
    </row>
    <row r="999" ht="14.25" customHeight="1">
      <c r="A999" s="2" t="s">
        <v>119</v>
      </c>
      <c r="B999" s="2" t="s">
        <v>208</v>
      </c>
      <c r="C999" s="2" t="s">
        <v>12</v>
      </c>
      <c r="D999" s="2">
        <v>0.0</v>
      </c>
      <c r="E999" s="2">
        <v>0.0</v>
      </c>
      <c r="F999" s="2">
        <v>0.0</v>
      </c>
      <c r="G999" s="2">
        <v>0.0</v>
      </c>
      <c r="H999" s="2">
        <v>0.0</v>
      </c>
    </row>
    <row r="1000" ht="14.25" customHeight="1">
      <c r="A1000" s="2" t="s">
        <v>119</v>
      </c>
      <c r="B1000" s="2" t="s">
        <v>208</v>
      </c>
      <c r="C1000" s="2" t="s">
        <v>12</v>
      </c>
      <c r="D1000" s="2">
        <v>0.0</v>
      </c>
      <c r="E1000" s="2">
        <v>0.0</v>
      </c>
      <c r="F1000" s="2">
        <v>0.0</v>
      </c>
      <c r="G1000" s="2">
        <v>0.0</v>
      </c>
      <c r="H1000" s="2">
        <v>0.0</v>
      </c>
    </row>
    <row r="1001" ht="14.25" customHeight="1">
      <c r="A1001" s="2" t="s">
        <v>119</v>
      </c>
      <c r="B1001" s="2" t="s">
        <v>208</v>
      </c>
      <c r="C1001" s="2" t="s">
        <v>12</v>
      </c>
      <c r="D1001" s="2">
        <v>0.0</v>
      </c>
      <c r="E1001" s="2">
        <v>0.0</v>
      </c>
      <c r="F1001" s="2">
        <v>0.0</v>
      </c>
      <c r="G1001" s="2">
        <v>0.0</v>
      </c>
      <c r="H1001" s="2">
        <v>0.0</v>
      </c>
    </row>
    <row r="1002" ht="14.25" customHeight="1">
      <c r="A1002" s="2" t="s">
        <v>119</v>
      </c>
      <c r="B1002" s="2" t="s">
        <v>208</v>
      </c>
      <c r="C1002" s="2" t="s">
        <v>13</v>
      </c>
      <c r="D1002" s="2">
        <v>0.0</v>
      </c>
      <c r="E1002" s="2">
        <v>0.0</v>
      </c>
      <c r="F1002" s="2">
        <v>0.0</v>
      </c>
      <c r="G1002" s="2">
        <v>0.0</v>
      </c>
      <c r="H1002" s="2">
        <v>0.0</v>
      </c>
    </row>
    <row r="1003" ht="14.25" customHeight="1">
      <c r="A1003" s="2" t="s">
        <v>119</v>
      </c>
      <c r="B1003" s="2" t="s">
        <v>208</v>
      </c>
      <c r="C1003" s="2" t="s">
        <v>14</v>
      </c>
      <c r="D1003" s="2">
        <v>0.0</v>
      </c>
      <c r="E1003" s="2">
        <v>0.0</v>
      </c>
      <c r="F1003" s="2">
        <v>0.0</v>
      </c>
      <c r="G1003" s="2">
        <v>0.0</v>
      </c>
      <c r="H1003" s="2">
        <v>0.0</v>
      </c>
    </row>
    <row r="1004" ht="14.25" customHeight="1">
      <c r="A1004" s="2" t="s">
        <v>119</v>
      </c>
      <c r="B1004" s="2" t="s">
        <v>208</v>
      </c>
      <c r="C1004" s="2" t="s">
        <v>117</v>
      </c>
      <c r="D1004" s="2">
        <v>0.0</v>
      </c>
      <c r="E1004" s="2">
        <v>0.0</v>
      </c>
      <c r="F1004" s="2">
        <v>0.0</v>
      </c>
      <c r="G1004" s="2">
        <v>0.0</v>
      </c>
      <c r="H1004" s="2">
        <v>0.0</v>
      </c>
    </row>
    <row r="1005" ht="14.25" customHeight="1">
      <c r="A1005" s="2" t="s">
        <v>119</v>
      </c>
      <c r="B1005" s="2" t="s">
        <v>208</v>
      </c>
      <c r="C1005" s="2" t="s">
        <v>15</v>
      </c>
      <c r="D1005" s="2">
        <v>0.0</v>
      </c>
      <c r="E1005" s="2">
        <v>0.0</v>
      </c>
      <c r="F1005" s="2">
        <v>0.0</v>
      </c>
      <c r="G1005" s="2">
        <v>0.0</v>
      </c>
      <c r="H1005" s="2">
        <v>0.0</v>
      </c>
    </row>
    <row r="1006" ht="14.25" customHeight="1">
      <c r="A1006" s="2" t="s">
        <v>119</v>
      </c>
      <c r="B1006" s="2" t="s">
        <v>208</v>
      </c>
      <c r="C1006" s="2" t="s">
        <v>16</v>
      </c>
      <c r="D1006" s="2">
        <v>0.0</v>
      </c>
      <c r="E1006" s="2">
        <v>0.0</v>
      </c>
      <c r="F1006" s="2">
        <v>0.0</v>
      </c>
      <c r="G1006" s="2">
        <v>0.0</v>
      </c>
      <c r="H1006" s="2">
        <v>0.0</v>
      </c>
    </row>
    <row r="1007" ht="14.25" customHeight="1">
      <c r="A1007" s="2" t="s">
        <v>119</v>
      </c>
      <c r="B1007" s="2" t="s">
        <v>208</v>
      </c>
      <c r="C1007" s="2" t="s">
        <v>17</v>
      </c>
      <c r="D1007" s="2">
        <v>0.0</v>
      </c>
      <c r="E1007" s="2">
        <v>0.0</v>
      </c>
      <c r="F1007" s="2">
        <v>0.0</v>
      </c>
      <c r="G1007" s="2">
        <v>0.0</v>
      </c>
      <c r="H1007" s="2">
        <v>0.0</v>
      </c>
    </row>
    <row r="1008" ht="14.25" customHeight="1">
      <c r="A1008" s="2" t="s">
        <v>119</v>
      </c>
      <c r="B1008" s="2" t="s">
        <v>11</v>
      </c>
      <c r="C1008" s="2" t="s">
        <v>10</v>
      </c>
      <c r="D1008" s="2">
        <v>634.6339677492487</v>
      </c>
      <c r="E1008" s="2">
        <v>1.56683441369157</v>
      </c>
      <c r="F1008" s="2">
        <v>10960.74958310419</v>
      </c>
      <c r="G1008" s="2">
        <v>10.08842296224315</v>
      </c>
      <c r="H1008" s="2">
        <v>0.496773767815328</v>
      </c>
    </row>
    <row r="1009" ht="14.25" customHeight="1">
      <c r="A1009" s="2" t="s">
        <v>119</v>
      </c>
      <c r="B1009" s="2" t="s">
        <v>18</v>
      </c>
      <c r="C1009" s="2" t="s">
        <v>10</v>
      </c>
      <c r="D1009" s="2">
        <v>0.0</v>
      </c>
      <c r="E1009" s="2">
        <v>0.0</v>
      </c>
      <c r="F1009" s="2">
        <v>0.0</v>
      </c>
      <c r="G1009" s="2">
        <v>0.0</v>
      </c>
      <c r="H1009" s="2">
        <v>0.0</v>
      </c>
    </row>
    <row r="1010" ht="14.25" customHeight="1">
      <c r="A1010" s="2" t="s">
        <v>120</v>
      </c>
      <c r="B1010" s="2" t="s">
        <v>9</v>
      </c>
      <c r="C1010" s="2" t="s">
        <v>10</v>
      </c>
      <c r="D1010" s="2">
        <v>0.0</v>
      </c>
      <c r="E1010" s="2">
        <v>0.0</v>
      </c>
      <c r="F1010" s="2">
        <v>0.0</v>
      </c>
      <c r="G1010" s="2">
        <v>0.0</v>
      </c>
      <c r="H1010" s="2">
        <v>0.0</v>
      </c>
    </row>
    <row r="1011" ht="14.25" customHeight="1">
      <c r="A1011" s="2" t="s">
        <v>120</v>
      </c>
      <c r="B1011" s="2" t="s">
        <v>11</v>
      </c>
      <c r="C1011" s="2" t="s">
        <v>12</v>
      </c>
      <c r="D1011" s="2">
        <v>104.0445286654657</v>
      </c>
      <c r="E1011" s="2">
        <v>0.02794643798531</v>
      </c>
      <c r="F1011" s="2">
        <v>1362.472821928075</v>
      </c>
      <c r="G1011" s="2">
        <v>0.7418396196796</v>
      </c>
      <c r="H1011" s="2">
        <v>0.00335164427581464</v>
      </c>
    </row>
    <row r="1012" ht="14.25" customHeight="1">
      <c r="A1012" s="2" t="s">
        <v>120</v>
      </c>
      <c r="B1012" s="2" t="s">
        <v>11</v>
      </c>
      <c r="C1012" s="2" t="s">
        <v>12</v>
      </c>
      <c r="D1012" s="2">
        <v>21.349417685163</v>
      </c>
      <c r="E1012" s="2">
        <v>0.0419758037529</v>
      </c>
      <c r="F1012" s="2">
        <v>598.43009253525</v>
      </c>
      <c r="G1012" s="2">
        <v>0.198037713564</v>
      </c>
      <c r="H1012" s="2">
        <v>4.770031147176E-4</v>
      </c>
    </row>
    <row r="1013" ht="14.25" customHeight="1">
      <c r="A1013" s="2" t="s">
        <v>120</v>
      </c>
      <c r="B1013" s="2" t="s">
        <v>11</v>
      </c>
      <c r="C1013" s="2" t="s">
        <v>12</v>
      </c>
      <c r="D1013" s="2">
        <v>16.5067788358314</v>
      </c>
      <c r="E1013" s="2">
        <v>0.0515098944555</v>
      </c>
      <c r="F1013" s="2">
        <v>355.3164357613708</v>
      </c>
      <c r="G1013" s="2">
        <v>0.1814875663662</v>
      </c>
      <c r="H1013" s="2">
        <v>9.429352084239E-4</v>
      </c>
    </row>
    <row r="1014" ht="14.25" customHeight="1">
      <c r="A1014" s="2" t="s">
        <v>120</v>
      </c>
      <c r="B1014" s="2" t="s">
        <v>11</v>
      </c>
      <c r="C1014" s="2" t="s">
        <v>13</v>
      </c>
      <c r="D1014" s="2">
        <v>72.10748620368</v>
      </c>
      <c r="E1014" s="2">
        <v>0.337609775646</v>
      </c>
      <c r="F1014" s="2">
        <v>1419.5464099317</v>
      </c>
      <c r="G1014" s="2">
        <v>1.288620353919</v>
      </c>
      <c r="H1014" s="2">
        <v>0.020963029658091</v>
      </c>
    </row>
    <row r="1015" ht="14.25" customHeight="1">
      <c r="A1015" s="2" t="s">
        <v>120</v>
      </c>
      <c r="B1015" s="2" t="s">
        <v>11</v>
      </c>
      <c r="C1015" s="2" t="s">
        <v>14</v>
      </c>
      <c r="D1015" s="2">
        <v>18.9721165644696</v>
      </c>
      <c r="E1015" s="2">
        <v>0.046370707306</v>
      </c>
      <c r="F1015" s="2">
        <v>375.4598773184912</v>
      </c>
      <c r="G1015" s="2">
        <v>0.2250061093568</v>
      </c>
      <c r="H1015" s="2">
        <v>9.624420037056E-4</v>
      </c>
    </row>
    <row r="1016" ht="14.25" customHeight="1">
      <c r="A1016" s="2" t="s">
        <v>120</v>
      </c>
      <c r="B1016" s="2" t="s">
        <v>11</v>
      </c>
      <c r="C1016" s="2" t="s">
        <v>117</v>
      </c>
      <c r="D1016" s="2">
        <v>119.01240239488</v>
      </c>
      <c r="E1016" s="2">
        <v>0.081599222492</v>
      </c>
      <c r="F1016" s="2">
        <v>1630.994676060496</v>
      </c>
      <c r="G1016" s="2">
        <v>0.663660603708</v>
      </c>
      <c r="H1016" s="2">
        <v>0.003086512598224</v>
      </c>
    </row>
    <row r="1017" ht="14.25" customHeight="1">
      <c r="A1017" s="2" t="s">
        <v>120</v>
      </c>
      <c r="B1017" s="2" t="s">
        <v>11</v>
      </c>
      <c r="C1017" s="2" t="s">
        <v>15</v>
      </c>
      <c r="D1017" s="2">
        <v>2.0107680350868</v>
      </c>
      <c r="E1017" s="2">
        <v>0.166423954122</v>
      </c>
      <c r="F1017" s="2">
        <v>40.6079555295996</v>
      </c>
      <c r="G1017" s="2">
        <v>0.0512455204809</v>
      </c>
      <c r="H1017" s="2">
        <v>1.1532313921455E-4</v>
      </c>
    </row>
    <row r="1018" ht="14.25" customHeight="1">
      <c r="A1018" s="2" t="s">
        <v>120</v>
      </c>
      <c r="B1018" s="2" t="s">
        <v>11</v>
      </c>
      <c r="C1018" s="2" t="s">
        <v>16</v>
      </c>
      <c r="D1018" s="2">
        <v>19.664619682176</v>
      </c>
      <c r="E1018" s="2">
        <v>0.25843438152</v>
      </c>
      <c r="F1018" s="2">
        <v>513.246040994232</v>
      </c>
      <c r="G1018" s="2">
        <v>2.565768366932904</v>
      </c>
      <c r="H1018" s="2">
        <v>0.229327535329011</v>
      </c>
    </row>
    <row r="1019" ht="14.25" customHeight="1">
      <c r="A1019" s="2" t="s">
        <v>120</v>
      </c>
      <c r="B1019" s="2" t="s">
        <v>11</v>
      </c>
      <c r="C1019" s="2" t="s">
        <v>17</v>
      </c>
      <c r="D1019" s="2">
        <v>6.212590434</v>
      </c>
      <c r="E1019" s="2">
        <v>0.01509908778</v>
      </c>
      <c r="F1019" s="2">
        <v>165.036805593</v>
      </c>
      <c r="G1019" s="2">
        <v>0.12094629555</v>
      </c>
      <c r="H1019" s="2">
        <v>4.579500738E-4</v>
      </c>
    </row>
    <row r="1020" ht="14.25" customHeight="1">
      <c r="A1020" s="2" t="s">
        <v>120</v>
      </c>
      <c r="B1020" s="2" t="s">
        <v>208</v>
      </c>
      <c r="C1020" s="2" t="s">
        <v>12</v>
      </c>
      <c r="D1020" s="2">
        <v>0.0</v>
      </c>
      <c r="E1020" s="2">
        <v>0.0</v>
      </c>
      <c r="F1020" s="2">
        <v>0.0</v>
      </c>
      <c r="G1020" s="2">
        <v>0.0</v>
      </c>
      <c r="H1020" s="2">
        <v>0.0</v>
      </c>
    </row>
    <row r="1021" ht="14.25" customHeight="1">
      <c r="A1021" s="2" t="s">
        <v>120</v>
      </c>
      <c r="B1021" s="2" t="s">
        <v>208</v>
      </c>
      <c r="C1021" s="2" t="s">
        <v>12</v>
      </c>
      <c r="D1021" s="2">
        <v>0.0</v>
      </c>
      <c r="E1021" s="2">
        <v>0.0</v>
      </c>
      <c r="F1021" s="2">
        <v>0.0</v>
      </c>
      <c r="G1021" s="2">
        <v>0.0</v>
      </c>
      <c r="H1021" s="2">
        <v>0.0</v>
      </c>
    </row>
    <row r="1022" ht="14.25" customHeight="1">
      <c r="A1022" s="2" t="s">
        <v>120</v>
      </c>
      <c r="B1022" s="2" t="s">
        <v>208</v>
      </c>
      <c r="C1022" s="2" t="s">
        <v>12</v>
      </c>
      <c r="D1022" s="2">
        <v>0.0</v>
      </c>
      <c r="E1022" s="2">
        <v>0.0</v>
      </c>
      <c r="F1022" s="2">
        <v>0.0</v>
      </c>
      <c r="G1022" s="2">
        <v>0.0</v>
      </c>
      <c r="H1022" s="2">
        <v>0.0</v>
      </c>
    </row>
    <row r="1023" ht="14.25" customHeight="1">
      <c r="A1023" s="2" t="s">
        <v>120</v>
      </c>
      <c r="B1023" s="2" t="s">
        <v>208</v>
      </c>
      <c r="C1023" s="2" t="s">
        <v>13</v>
      </c>
      <c r="D1023" s="2">
        <v>0.0</v>
      </c>
      <c r="E1023" s="2">
        <v>0.0</v>
      </c>
      <c r="F1023" s="2">
        <v>0.0</v>
      </c>
      <c r="G1023" s="2">
        <v>0.0</v>
      </c>
      <c r="H1023" s="2">
        <v>0.0</v>
      </c>
    </row>
    <row r="1024" ht="14.25" customHeight="1">
      <c r="A1024" s="2" t="s">
        <v>120</v>
      </c>
      <c r="B1024" s="2" t="s">
        <v>208</v>
      </c>
      <c r="C1024" s="2" t="s">
        <v>14</v>
      </c>
      <c r="D1024" s="2">
        <v>0.0</v>
      </c>
      <c r="E1024" s="2">
        <v>0.0</v>
      </c>
      <c r="F1024" s="2">
        <v>0.0</v>
      </c>
      <c r="G1024" s="2">
        <v>0.0</v>
      </c>
      <c r="H1024" s="2">
        <v>0.0</v>
      </c>
    </row>
    <row r="1025" ht="14.25" customHeight="1">
      <c r="A1025" s="2" t="s">
        <v>120</v>
      </c>
      <c r="B1025" s="2" t="s">
        <v>208</v>
      </c>
      <c r="C1025" s="2" t="s">
        <v>117</v>
      </c>
      <c r="D1025" s="2">
        <v>0.0</v>
      </c>
      <c r="E1025" s="2">
        <v>0.0</v>
      </c>
      <c r="F1025" s="2">
        <v>0.0</v>
      </c>
      <c r="G1025" s="2">
        <v>0.0</v>
      </c>
      <c r="H1025" s="2">
        <v>0.0</v>
      </c>
    </row>
    <row r="1026" ht="14.25" customHeight="1">
      <c r="A1026" s="2" t="s">
        <v>120</v>
      </c>
      <c r="B1026" s="2" t="s">
        <v>208</v>
      </c>
      <c r="C1026" s="2" t="s">
        <v>15</v>
      </c>
      <c r="D1026" s="2">
        <v>0.0</v>
      </c>
      <c r="E1026" s="2">
        <v>0.0</v>
      </c>
      <c r="F1026" s="2">
        <v>0.0</v>
      </c>
      <c r="G1026" s="2">
        <v>0.0</v>
      </c>
      <c r="H1026" s="2">
        <v>0.0</v>
      </c>
    </row>
    <row r="1027" ht="14.25" customHeight="1">
      <c r="A1027" s="2" t="s">
        <v>120</v>
      </c>
      <c r="B1027" s="2" t="s">
        <v>208</v>
      </c>
      <c r="C1027" s="2" t="s">
        <v>16</v>
      </c>
      <c r="D1027" s="2">
        <v>0.0</v>
      </c>
      <c r="E1027" s="2">
        <v>0.0</v>
      </c>
      <c r="F1027" s="2">
        <v>0.0</v>
      </c>
      <c r="G1027" s="2">
        <v>0.0</v>
      </c>
      <c r="H1027" s="2">
        <v>0.0</v>
      </c>
    </row>
    <row r="1028" ht="14.25" customHeight="1">
      <c r="A1028" s="2" t="s">
        <v>120</v>
      </c>
      <c r="B1028" s="2" t="s">
        <v>208</v>
      </c>
      <c r="C1028" s="2" t="s">
        <v>17</v>
      </c>
      <c r="D1028" s="2">
        <v>0.0</v>
      </c>
      <c r="E1028" s="2">
        <v>0.0</v>
      </c>
      <c r="F1028" s="2">
        <v>0.0</v>
      </c>
      <c r="G1028" s="2">
        <v>0.0</v>
      </c>
      <c r="H1028" s="2">
        <v>0.0</v>
      </c>
    </row>
    <row r="1029" ht="14.25" customHeight="1">
      <c r="A1029" s="2" t="s">
        <v>120</v>
      </c>
      <c r="B1029" s="2" t="s">
        <v>11</v>
      </c>
      <c r="C1029" s="2" t="s">
        <v>10</v>
      </c>
      <c r="D1029" s="2">
        <v>379.8807085007525</v>
      </c>
      <c r="E1029" s="2">
        <v>1.02696926505971</v>
      </c>
      <c r="F1029" s="2">
        <v>6461.111115652215</v>
      </c>
      <c r="G1029" s="2">
        <v>6.036612149557404</v>
      </c>
      <c r="H1029" s="2">
        <v>0.2596843754010023</v>
      </c>
    </row>
    <row r="1030" ht="14.25" customHeight="1">
      <c r="A1030" s="2" t="s">
        <v>120</v>
      </c>
      <c r="B1030" s="2" t="s">
        <v>18</v>
      </c>
      <c r="C1030" s="2" t="s">
        <v>10</v>
      </c>
      <c r="D1030" s="2">
        <v>0.0</v>
      </c>
      <c r="E1030" s="2">
        <v>0.0</v>
      </c>
      <c r="F1030" s="2">
        <v>0.0</v>
      </c>
      <c r="G1030" s="2">
        <v>0.0</v>
      </c>
      <c r="H1030" s="2">
        <v>0.0</v>
      </c>
    </row>
    <row r="1031" ht="14.25" customHeight="1">
      <c r="A1031" s="2" t="s">
        <v>121</v>
      </c>
      <c r="B1031" s="2" t="s">
        <v>53</v>
      </c>
      <c r="C1031" s="2" t="s">
        <v>54</v>
      </c>
      <c r="D1031" s="2">
        <v>231.6478181572</v>
      </c>
      <c r="E1031" s="2">
        <v>24.868266678</v>
      </c>
      <c r="F1031" s="2">
        <v>3190.9884286884</v>
      </c>
      <c r="G1031" s="2">
        <v>1.1293162551</v>
      </c>
      <c r="H1031" s="2">
        <v>0.00738660053695</v>
      </c>
    </row>
    <row r="1032" ht="14.25" customHeight="1">
      <c r="A1032" s="2" t="s">
        <v>121</v>
      </c>
      <c r="B1032" s="2" t="s">
        <v>53</v>
      </c>
      <c r="C1032" s="2" t="s">
        <v>54</v>
      </c>
      <c r="D1032" s="2">
        <v>185.31825452576</v>
      </c>
      <c r="E1032" s="2">
        <v>19.8946133424</v>
      </c>
      <c r="F1032" s="2">
        <v>2552.79074295072</v>
      </c>
      <c r="G1032" s="2">
        <v>0.90345300408</v>
      </c>
      <c r="H1032" s="2">
        <v>0.00590928042956</v>
      </c>
    </row>
    <row r="1033" ht="14.25" customHeight="1">
      <c r="A1033" s="2" t="s">
        <v>121</v>
      </c>
      <c r="B1033" s="2" t="s">
        <v>53</v>
      </c>
      <c r="C1033" s="2" t="s">
        <v>54</v>
      </c>
      <c r="D1033" s="2">
        <v>324.30694542008</v>
      </c>
      <c r="E1033" s="2">
        <v>34.8155733492</v>
      </c>
      <c r="F1033" s="2">
        <v>4467.38380016376</v>
      </c>
      <c r="G1033" s="2">
        <v>1.58104275714</v>
      </c>
      <c r="H1033" s="2">
        <v>0.01034124075173</v>
      </c>
    </row>
    <row r="1034" ht="14.25" customHeight="1">
      <c r="A1034" s="2" t="s">
        <v>121</v>
      </c>
      <c r="B1034" s="2" t="s">
        <v>53</v>
      </c>
      <c r="C1034" s="2" t="s">
        <v>122</v>
      </c>
      <c r="D1034" s="2">
        <v>70.59052338</v>
      </c>
      <c r="E1034" s="2">
        <v>0.90617436</v>
      </c>
      <c r="F1034" s="2">
        <v>10399.3945068</v>
      </c>
      <c r="G1034" s="2">
        <v>2.82911304</v>
      </c>
      <c r="H1034" s="2">
        <v>0.010240308</v>
      </c>
    </row>
    <row r="1035" ht="14.25" customHeight="1">
      <c r="A1035" s="2" t="s">
        <v>121</v>
      </c>
      <c r="B1035" s="2" t="s">
        <v>53</v>
      </c>
      <c r="C1035" s="2" t="s">
        <v>123</v>
      </c>
      <c r="D1035" s="2">
        <v>45.18970005043</v>
      </c>
      <c r="E1035" s="2">
        <v>0.58010261946</v>
      </c>
      <c r="F1035" s="2">
        <v>6657.3457167698</v>
      </c>
      <c r="G1035" s="2">
        <v>1.81110386444</v>
      </c>
      <c r="H1035" s="2">
        <v>0.006555503838</v>
      </c>
    </row>
    <row r="1036" ht="14.25" customHeight="1">
      <c r="A1036" s="2" t="s">
        <v>121</v>
      </c>
      <c r="B1036" s="2" t="s">
        <v>53</v>
      </c>
      <c r="C1036" s="2" t="s">
        <v>124</v>
      </c>
      <c r="D1036" s="2">
        <v>32.8437097200072</v>
      </c>
      <c r="E1036" s="2">
        <v>0.430908720228</v>
      </c>
      <c r="F1036" s="2">
        <v>856.5666225717384</v>
      </c>
      <c r="G1036" s="2">
        <v>4.28194233192978</v>
      </c>
      <c r="H1036" s="2">
        <v>0.3822130053676557</v>
      </c>
    </row>
    <row r="1037" ht="14.25" customHeight="1">
      <c r="A1037" s="2" t="s">
        <v>121</v>
      </c>
      <c r="B1037" s="2" t="s">
        <v>53</v>
      </c>
      <c r="C1037" s="2" t="s">
        <v>55</v>
      </c>
      <c r="D1037" s="2">
        <v>2.309775174</v>
      </c>
      <c r="E1037" s="2">
        <v>0.0280522983</v>
      </c>
      <c r="F1037" s="2">
        <v>329.696297455</v>
      </c>
      <c r="G1037" s="2">
        <v>0.08968020725</v>
      </c>
      <c r="H1037" s="2">
        <v>3.16434923E-4</v>
      </c>
    </row>
    <row r="1038" ht="14.25" customHeight="1">
      <c r="A1038" s="2" t="s">
        <v>121</v>
      </c>
      <c r="B1038" s="2" t="s">
        <v>213</v>
      </c>
      <c r="C1038" s="2" t="s">
        <v>54</v>
      </c>
      <c r="D1038" s="2">
        <v>0.0</v>
      </c>
      <c r="E1038" s="2">
        <v>0.0</v>
      </c>
      <c r="F1038" s="2">
        <v>0.0</v>
      </c>
      <c r="G1038" s="2">
        <v>0.0</v>
      </c>
      <c r="H1038" s="2">
        <v>0.0</v>
      </c>
    </row>
    <row r="1039" ht="14.25" customHeight="1">
      <c r="A1039" s="2" t="s">
        <v>121</v>
      </c>
      <c r="B1039" s="2" t="s">
        <v>213</v>
      </c>
      <c r="C1039" s="2" t="s">
        <v>54</v>
      </c>
      <c r="D1039" s="2">
        <v>0.0</v>
      </c>
      <c r="E1039" s="2">
        <v>0.0</v>
      </c>
      <c r="F1039" s="2">
        <v>0.0</v>
      </c>
      <c r="G1039" s="2">
        <v>0.0</v>
      </c>
      <c r="H1039" s="2">
        <v>0.0</v>
      </c>
    </row>
    <row r="1040" ht="14.25" customHeight="1">
      <c r="A1040" s="2" t="s">
        <v>121</v>
      </c>
      <c r="B1040" s="2" t="s">
        <v>213</v>
      </c>
      <c r="C1040" s="2" t="s">
        <v>54</v>
      </c>
      <c r="D1040" s="2">
        <v>0.0</v>
      </c>
      <c r="E1040" s="2">
        <v>0.0</v>
      </c>
      <c r="F1040" s="2">
        <v>0.0</v>
      </c>
      <c r="G1040" s="2">
        <v>0.0</v>
      </c>
      <c r="H1040" s="2">
        <v>0.0</v>
      </c>
    </row>
    <row r="1041" ht="14.25" customHeight="1">
      <c r="A1041" s="2" t="s">
        <v>121</v>
      </c>
      <c r="B1041" s="2" t="s">
        <v>213</v>
      </c>
      <c r="C1041" s="2" t="s">
        <v>122</v>
      </c>
      <c r="D1041" s="2">
        <v>0.0</v>
      </c>
      <c r="E1041" s="2">
        <v>0.0</v>
      </c>
      <c r="F1041" s="2">
        <v>0.0</v>
      </c>
      <c r="G1041" s="2">
        <v>0.0</v>
      </c>
      <c r="H1041" s="2">
        <v>0.0</v>
      </c>
    </row>
    <row r="1042" ht="14.25" customHeight="1">
      <c r="A1042" s="2" t="s">
        <v>121</v>
      </c>
      <c r="B1042" s="2" t="s">
        <v>213</v>
      </c>
      <c r="C1042" s="2" t="s">
        <v>123</v>
      </c>
      <c r="D1042" s="2">
        <v>0.0</v>
      </c>
      <c r="E1042" s="2">
        <v>0.0</v>
      </c>
      <c r="F1042" s="2">
        <v>0.0</v>
      </c>
      <c r="G1042" s="2">
        <v>0.0</v>
      </c>
      <c r="H1042" s="2">
        <v>0.0</v>
      </c>
    </row>
    <row r="1043" ht="14.25" customHeight="1">
      <c r="A1043" s="2" t="s">
        <v>121</v>
      </c>
      <c r="B1043" s="2" t="s">
        <v>213</v>
      </c>
      <c r="C1043" s="2" t="s">
        <v>124</v>
      </c>
      <c r="D1043" s="2">
        <v>0.0</v>
      </c>
      <c r="E1043" s="2">
        <v>0.0</v>
      </c>
      <c r="F1043" s="2">
        <v>0.0</v>
      </c>
      <c r="G1043" s="2">
        <v>0.0</v>
      </c>
      <c r="H1043" s="2">
        <v>0.0</v>
      </c>
    </row>
    <row r="1044" ht="14.25" customHeight="1">
      <c r="A1044" s="2" t="s">
        <v>121</v>
      </c>
      <c r="B1044" s="2" t="s">
        <v>213</v>
      </c>
      <c r="C1044" s="2" t="s">
        <v>55</v>
      </c>
      <c r="D1044" s="2">
        <v>0.0</v>
      </c>
      <c r="E1044" s="2">
        <v>0.0</v>
      </c>
      <c r="F1044" s="2">
        <v>0.0</v>
      </c>
      <c r="G1044" s="2">
        <v>0.0</v>
      </c>
      <c r="H1044" s="2">
        <v>0.0</v>
      </c>
    </row>
    <row r="1045" ht="14.25" customHeight="1">
      <c r="A1045" s="2" t="s">
        <v>121</v>
      </c>
      <c r="B1045" s="2" t="s">
        <v>53</v>
      </c>
      <c r="C1045" s="2" t="s">
        <v>10</v>
      </c>
      <c r="D1045" s="2">
        <v>892.2067264274772</v>
      </c>
      <c r="E1045" s="2">
        <v>81.523691367588</v>
      </c>
      <c r="F1045" s="2">
        <v>28454.16611539942</v>
      </c>
      <c r="G1045" s="2">
        <v>12.62565145993978</v>
      </c>
      <c r="H1045" s="2">
        <v>0.4229623738468957</v>
      </c>
    </row>
    <row r="1046" ht="14.25" customHeight="1">
      <c r="A1046" s="2" t="s">
        <v>121</v>
      </c>
      <c r="B1046" s="2" t="s">
        <v>18</v>
      </c>
      <c r="C1046" s="2" t="s">
        <v>10</v>
      </c>
      <c r="D1046" s="2">
        <v>0.0</v>
      </c>
      <c r="E1046" s="2">
        <v>0.0</v>
      </c>
      <c r="F1046" s="2">
        <v>0.0</v>
      </c>
      <c r="G1046" s="2">
        <v>0.0</v>
      </c>
      <c r="H1046" s="2">
        <v>0.0</v>
      </c>
    </row>
    <row r="1047" ht="14.25" customHeight="1">
      <c r="A1047" s="2" t="s">
        <v>125</v>
      </c>
      <c r="B1047" s="2" t="s">
        <v>21</v>
      </c>
      <c r="C1047" s="2" t="s">
        <v>41</v>
      </c>
      <c r="D1047" s="2">
        <v>181.68099434376</v>
      </c>
      <c r="E1047" s="2">
        <v>0.0420932384</v>
      </c>
      <c r="F1047" s="2">
        <v>4111.15321035672</v>
      </c>
      <c r="G1047" s="2">
        <v>2.41868817558</v>
      </c>
      <c r="H1047" s="2">
        <v>0.00104679633131</v>
      </c>
    </row>
    <row r="1048" ht="14.25" customHeight="1">
      <c r="A1048" s="2" t="s">
        <v>125</v>
      </c>
      <c r="B1048" s="2" t="s">
        <v>21</v>
      </c>
      <c r="C1048" s="2" t="s">
        <v>41</v>
      </c>
      <c r="D1048" s="2">
        <v>342.0276677328</v>
      </c>
      <c r="E1048" s="2">
        <v>15.313682797</v>
      </c>
      <c r="F1048" s="2">
        <v>3647.4707006416</v>
      </c>
      <c r="G1048" s="2">
        <v>3.7233104524</v>
      </c>
      <c r="H1048" s="2">
        <v>0.0218749599593</v>
      </c>
    </row>
    <row r="1049" ht="14.25" customHeight="1">
      <c r="A1049" s="2" t="s">
        <v>125</v>
      </c>
      <c r="B1049" s="2" t="s">
        <v>21</v>
      </c>
      <c r="C1049" s="2" t="s">
        <v>42</v>
      </c>
      <c r="D1049" s="2">
        <v>3.78437080068</v>
      </c>
      <c r="E1049" s="2">
        <v>0.0326268807</v>
      </c>
      <c r="F1049" s="2">
        <v>57.45331503696</v>
      </c>
      <c r="G1049" s="2">
        <v>0.03008452119</v>
      </c>
      <c r="H1049" s="2">
        <v>1.03551425955E-4</v>
      </c>
    </row>
    <row r="1050" ht="14.25" customHeight="1">
      <c r="A1050" s="2" t="s">
        <v>125</v>
      </c>
      <c r="B1050" s="2" t="s">
        <v>21</v>
      </c>
      <c r="C1050" s="2" t="s">
        <v>43</v>
      </c>
      <c r="D1050" s="2">
        <v>10.207687514104</v>
      </c>
      <c r="E1050" s="2">
        <v>0.02662554076</v>
      </c>
      <c r="F1050" s="2">
        <v>187.784249838888</v>
      </c>
      <c r="G1050" s="2">
        <v>0.156888570582</v>
      </c>
      <c r="H1050" s="2">
        <v>2.53611582749E-4</v>
      </c>
    </row>
    <row r="1051" ht="14.25" customHeight="1">
      <c r="A1051" s="2" t="s">
        <v>125</v>
      </c>
      <c r="B1051" s="2" t="s">
        <v>21</v>
      </c>
      <c r="C1051" s="2" t="s">
        <v>57</v>
      </c>
      <c r="D1051" s="2">
        <v>0.6870501495</v>
      </c>
      <c r="E1051" s="2">
        <v>1.77130125E-4</v>
      </c>
      <c r="F1051" s="2">
        <v>10.966308755625</v>
      </c>
      <c r="G1051" s="2">
        <v>0.0171537586875</v>
      </c>
      <c r="H1051" s="2">
        <v>1.84021875E-4</v>
      </c>
    </row>
    <row r="1052" ht="14.25" customHeight="1">
      <c r="A1052" s="2" t="s">
        <v>125</v>
      </c>
      <c r="B1052" s="2" t="s">
        <v>21</v>
      </c>
      <c r="C1052" s="2" t="s">
        <v>58</v>
      </c>
      <c r="D1052" s="2">
        <v>161.382702</v>
      </c>
      <c r="E1052" s="2">
        <v>0.6023914</v>
      </c>
      <c r="F1052" s="2">
        <v>5211.9974296</v>
      </c>
      <c r="G1052" s="2">
        <v>4.53248848</v>
      </c>
      <c r="H1052" s="2">
        <v>0.010373844</v>
      </c>
    </row>
    <row r="1053" ht="14.25" customHeight="1">
      <c r="A1053" s="2" t="s">
        <v>125</v>
      </c>
      <c r="B1053" s="2" t="s">
        <v>21</v>
      </c>
      <c r="C1053" s="2" t="s">
        <v>44</v>
      </c>
      <c r="D1053" s="2">
        <v>259.6733442576</v>
      </c>
      <c r="E1053" s="2">
        <v>3.4390735344</v>
      </c>
      <c r="F1053" s="2">
        <v>6801.22402848</v>
      </c>
      <c r="G1053" s="2">
        <v>34.1877457152</v>
      </c>
      <c r="H1053" s="2">
        <v>3.0576842352</v>
      </c>
    </row>
    <row r="1054" ht="14.25" customHeight="1">
      <c r="A1054" s="2" t="s">
        <v>125</v>
      </c>
      <c r="B1054" s="2" t="s">
        <v>21</v>
      </c>
      <c r="C1054" s="2" t="s">
        <v>45</v>
      </c>
      <c r="D1054" s="2">
        <v>72.01156832</v>
      </c>
      <c r="E1054" s="2">
        <v>0.2370745964</v>
      </c>
      <c r="F1054" s="2">
        <v>2805.38186362</v>
      </c>
      <c r="G1054" s="2">
        <v>1.703760568</v>
      </c>
      <c r="H1054" s="2">
        <v>0.003945630324</v>
      </c>
    </row>
    <row r="1055" ht="14.25" customHeight="1">
      <c r="A1055" s="2" t="s">
        <v>125</v>
      </c>
      <c r="B1055" s="2" t="s">
        <v>21</v>
      </c>
      <c r="C1055" s="2" t="s">
        <v>59</v>
      </c>
      <c r="D1055" s="2">
        <v>0.0</v>
      </c>
      <c r="E1055" s="2">
        <v>0.0</v>
      </c>
      <c r="F1055" s="2">
        <v>0.0</v>
      </c>
      <c r="G1055" s="2">
        <v>0.0</v>
      </c>
      <c r="H1055" s="2">
        <v>0.0</v>
      </c>
    </row>
    <row r="1056" ht="14.25" customHeight="1">
      <c r="A1056" s="2" t="s">
        <v>125</v>
      </c>
      <c r="B1056" s="2" t="s">
        <v>212</v>
      </c>
      <c r="C1056" s="2" t="s">
        <v>41</v>
      </c>
      <c r="D1056" s="2">
        <v>0.0</v>
      </c>
      <c r="E1056" s="2">
        <v>0.0</v>
      </c>
      <c r="F1056" s="2">
        <v>0.0</v>
      </c>
      <c r="G1056" s="2">
        <v>0.0</v>
      </c>
      <c r="H1056" s="2">
        <v>0.0</v>
      </c>
    </row>
    <row r="1057" ht="14.25" customHeight="1">
      <c r="A1057" s="2" t="s">
        <v>125</v>
      </c>
      <c r="B1057" s="2" t="s">
        <v>212</v>
      </c>
      <c r="C1057" s="2" t="s">
        <v>41</v>
      </c>
      <c r="D1057" s="2">
        <v>0.0</v>
      </c>
      <c r="E1057" s="2">
        <v>0.0</v>
      </c>
      <c r="F1057" s="2">
        <v>0.0</v>
      </c>
      <c r="G1057" s="2">
        <v>0.0</v>
      </c>
      <c r="H1057" s="2">
        <v>0.0</v>
      </c>
    </row>
    <row r="1058" ht="14.25" customHeight="1">
      <c r="A1058" s="2" t="s">
        <v>125</v>
      </c>
      <c r="B1058" s="2" t="s">
        <v>212</v>
      </c>
      <c r="C1058" s="2" t="s">
        <v>42</v>
      </c>
      <c r="D1058" s="2">
        <v>0.0</v>
      </c>
      <c r="E1058" s="2">
        <v>0.0</v>
      </c>
      <c r="F1058" s="2">
        <v>0.0</v>
      </c>
      <c r="G1058" s="2">
        <v>0.0</v>
      </c>
      <c r="H1058" s="2">
        <v>0.0</v>
      </c>
    </row>
    <row r="1059" ht="14.25" customHeight="1">
      <c r="A1059" s="2" t="s">
        <v>125</v>
      </c>
      <c r="B1059" s="2" t="s">
        <v>212</v>
      </c>
      <c r="C1059" s="2" t="s">
        <v>43</v>
      </c>
      <c r="D1059" s="2">
        <v>0.0</v>
      </c>
      <c r="E1059" s="2">
        <v>0.0</v>
      </c>
      <c r="F1059" s="2">
        <v>0.0</v>
      </c>
      <c r="G1059" s="2">
        <v>0.0</v>
      </c>
      <c r="H1059" s="2">
        <v>0.0</v>
      </c>
    </row>
    <row r="1060" ht="14.25" customHeight="1">
      <c r="A1060" s="2" t="s">
        <v>125</v>
      </c>
      <c r="B1060" s="2" t="s">
        <v>212</v>
      </c>
      <c r="C1060" s="2" t="s">
        <v>57</v>
      </c>
      <c r="D1060" s="2">
        <v>0.0</v>
      </c>
      <c r="E1060" s="2">
        <v>0.0</v>
      </c>
      <c r="F1060" s="2">
        <v>0.0</v>
      </c>
      <c r="G1060" s="2">
        <v>0.0</v>
      </c>
      <c r="H1060" s="2">
        <v>0.0</v>
      </c>
    </row>
    <row r="1061" ht="14.25" customHeight="1">
      <c r="A1061" s="2" t="s">
        <v>125</v>
      </c>
      <c r="B1061" s="2" t="s">
        <v>212</v>
      </c>
      <c r="C1061" s="2" t="s">
        <v>58</v>
      </c>
      <c r="D1061" s="2">
        <v>0.0</v>
      </c>
      <c r="E1061" s="2">
        <v>0.0</v>
      </c>
      <c r="F1061" s="2">
        <v>0.0</v>
      </c>
      <c r="G1061" s="2">
        <v>0.0</v>
      </c>
      <c r="H1061" s="2">
        <v>0.0</v>
      </c>
    </row>
    <row r="1062" ht="14.25" customHeight="1">
      <c r="A1062" s="2" t="s">
        <v>125</v>
      </c>
      <c r="B1062" s="2" t="s">
        <v>212</v>
      </c>
      <c r="C1062" s="2" t="s">
        <v>44</v>
      </c>
      <c r="D1062" s="2">
        <v>0.0</v>
      </c>
      <c r="E1062" s="2">
        <v>0.0</v>
      </c>
      <c r="F1062" s="2">
        <v>0.0</v>
      </c>
      <c r="G1062" s="2">
        <v>0.0</v>
      </c>
      <c r="H1062" s="2">
        <v>0.0</v>
      </c>
    </row>
    <row r="1063" ht="14.25" customHeight="1">
      <c r="A1063" s="2" t="s">
        <v>125</v>
      </c>
      <c r="B1063" s="2" t="s">
        <v>212</v>
      </c>
      <c r="C1063" s="2" t="s">
        <v>45</v>
      </c>
      <c r="D1063" s="2">
        <v>0.0</v>
      </c>
      <c r="E1063" s="2">
        <v>0.0</v>
      </c>
      <c r="F1063" s="2">
        <v>0.0</v>
      </c>
      <c r="G1063" s="2">
        <v>0.0</v>
      </c>
      <c r="H1063" s="2">
        <v>0.0</v>
      </c>
    </row>
    <row r="1064" ht="14.25" customHeight="1">
      <c r="A1064" s="2" t="s">
        <v>125</v>
      </c>
      <c r="B1064" s="2" t="s">
        <v>212</v>
      </c>
      <c r="C1064" s="2" t="s">
        <v>59</v>
      </c>
      <c r="D1064" s="2">
        <v>0.0</v>
      </c>
      <c r="E1064" s="2">
        <v>0.0</v>
      </c>
      <c r="F1064" s="2">
        <v>0.0</v>
      </c>
      <c r="G1064" s="2">
        <v>0.0</v>
      </c>
      <c r="H1064" s="2">
        <v>0.0</v>
      </c>
    </row>
    <row r="1065" ht="14.25" customHeight="1">
      <c r="A1065" s="2" t="s">
        <v>125</v>
      </c>
      <c r="B1065" s="2" t="s">
        <v>21</v>
      </c>
      <c r="C1065" s="2" t="s">
        <v>10</v>
      </c>
      <c r="D1065" s="2">
        <v>1031.455385118444</v>
      </c>
      <c r="E1065" s="2">
        <v>19.693745117785</v>
      </c>
      <c r="F1065" s="2">
        <v>22833.43110632979</v>
      </c>
      <c r="G1065" s="2">
        <v>46.7701202416395</v>
      </c>
      <c r="H1065" s="2">
        <v>3.095466650698314</v>
      </c>
    </row>
    <row r="1066" ht="14.25" customHeight="1">
      <c r="A1066" s="2" t="s">
        <v>125</v>
      </c>
      <c r="B1066" s="2" t="s">
        <v>22</v>
      </c>
      <c r="C1066" s="2" t="s">
        <v>60</v>
      </c>
      <c r="D1066" s="2">
        <v>488.610953904</v>
      </c>
      <c r="E1066" s="2">
        <v>21.87668971</v>
      </c>
      <c r="F1066" s="2">
        <v>5210.672429488</v>
      </c>
      <c r="G1066" s="2">
        <v>5.319014932</v>
      </c>
      <c r="H1066" s="2">
        <v>0.031249942799</v>
      </c>
    </row>
    <row r="1067" ht="14.25" customHeight="1">
      <c r="A1067" s="2" t="s">
        <v>125</v>
      </c>
      <c r="B1067" s="2" t="s">
        <v>22</v>
      </c>
      <c r="C1067" s="2" t="s">
        <v>61</v>
      </c>
      <c r="D1067" s="2">
        <v>1028.37251273088</v>
      </c>
      <c r="E1067" s="2">
        <v>1.4648117232</v>
      </c>
      <c r="F1067" s="2">
        <v>28764.50860403136</v>
      </c>
      <c r="G1067" s="2">
        <v>9.12566341104</v>
      </c>
      <c r="H1067" s="2">
        <v>0.16991983881528</v>
      </c>
    </row>
    <row r="1068" ht="14.25" customHeight="1">
      <c r="A1068" s="2" t="s">
        <v>125</v>
      </c>
      <c r="B1068" s="2" t="s">
        <v>22</v>
      </c>
      <c r="C1068" s="2" t="s">
        <v>62</v>
      </c>
      <c r="D1068" s="2">
        <v>78.33266739712</v>
      </c>
      <c r="E1068" s="2">
        <v>0.2673079808</v>
      </c>
      <c r="F1068" s="2">
        <v>1585.84586974464</v>
      </c>
      <c r="G1068" s="2">
        <v>1.01626159296</v>
      </c>
      <c r="H1068" s="2">
        <v>0.00196872678272</v>
      </c>
    </row>
    <row r="1069" ht="14.25" customHeight="1">
      <c r="A1069" s="2" t="s">
        <v>125</v>
      </c>
      <c r="B1069" s="2" t="s">
        <v>22</v>
      </c>
      <c r="C1069" s="2" t="s">
        <v>63</v>
      </c>
      <c r="D1069" s="2">
        <v>39.828844606848</v>
      </c>
      <c r="E1069" s="2">
        <v>0.084647980032</v>
      </c>
      <c r="F1069" s="2">
        <v>978.6382501632</v>
      </c>
      <c r="G1069" s="2">
        <v>0.554121494784</v>
      </c>
      <c r="H1069" s="2">
        <v>0.002465232</v>
      </c>
    </row>
    <row r="1070" ht="14.25" customHeight="1">
      <c r="A1070" s="2" t="s">
        <v>125</v>
      </c>
      <c r="B1070" s="2" t="s">
        <v>22</v>
      </c>
      <c r="C1070" s="2" t="s">
        <v>64</v>
      </c>
      <c r="D1070" s="2">
        <v>1.1361971511</v>
      </c>
      <c r="E1070" s="2">
        <v>9.9E-4</v>
      </c>
      <c r="F1070" s="2">
        <v>1.33397962137</v>
      </c>
      <c r="G1070" s="2">
        <v>0.00132</v>
      </c>
      <c r="H1070" s="2">
        <v>2.64E-6</v>
      </c>
    </row>
    <row r="1071" ht="14.25" customHeight="1">
      <c r="A1071" s="2" t="s">
        <v>125</v>
      </c>
      <c r="B1071" s="2" t="s">
        <v>22</v>
      </c>
      <c r="C1071" s="2" t="s">
        <v>65</v>
      </c>
      <c r="D1071" s="2">
        <v>74.577429405</v>
      </c>
      <c r="E1071" s="2">
        <v>0.2783743335</v>
      </c>
      <c r="F1071" s="2">
        <v>2408.544196794</v>
      </c>
      <c r="G1071" s="2">
        <v>2.0945326572</v>
      </c>
      <c r="H1071" s="2">
        <v>0.00479391291</v>
      </c>
    </row>
    <row r="1072" ht="14.25" customHeight="1">
      <c r="A1072" s="2" t="s">
        <v>125</v>
      </c>
      <c r="B1072" s="2" t="s">
        <v>22</v>
      </c>
      <c r="C1072" s="2" t="s">
        <v>65</v>
      </c>
      <c r="D1072" s="2">
        <v>104.83688229311</v>
      </c>
      <c r="E1072" s="2">
        <v>1.34579671842</v>
      </c>
      <c r="F1072" s="2">
        <v>15444.5674238746</v>
      </c>
      <c r="G1072" s="2">
        <v>4.20163184188</v>
      </c>
      <c r="H1072" s="2">
        <v>0.015208301526</v>
      </c>
    </row>
    <row r="1073" ht="14.25" customHeight="1">
      <c r="A1073" s="2" t="s">
        <v>125</v>
      </c>
      <c r="B1073" s="2" t="s">
        <v>22</v>
      </c>
      <c r="C1073" s="2" t="s">
        <v>66</v>
      </c>
      <c r="D1073" s="2">
        <v>324.591680322</v>
      </c>
      <c r="E1073" s="2">
        <v>4.298841918</v>
      </c>
      <c r="F1073" s="2">
        <v>8501.5300356</v>
      </c>
      <c r="G1073" s="2">
        <v>42.734682144</v>
      </c>
      <c r="H1073" s="2">
        <v>3.822105294</v>
      </c>
    </row>
    <row r="1074" ht="14.25" customHeight="1">
      <c r="A1074" s="2" t="s">
        <v>125</v>
      </c>
      <c r="B1074" s="2" t="s">
        <v>22</v>
      </c>
      <c r="C1074" s="2" t="s">
        <v>67</v>
      </c>
      <c r="D1074" s="2">
        <v>90.0144604</v>
      </c>
      <c r="E1074" s="2">
        <v>0.2963432455</v>
      </c>
      <c r="F1074" s="2">
        <v>3506.727329525</v>
      </c>
      <c r="G1074" s="2">
        <v>2.12970071</v>
      </c>
      <c r="H1074" s="2">
        <v>0.004932037905</v>
      </c>
    </row>
    <row r="1075" ht="14.25" customHeight="1">
      <c r="A1075" s="2" t="s">
        <v>125</v>
      </c>
      <c r="B1075" s="2" t="s">
        <v>22</v>
      </c>
      <c r="C1075" s="2" t="s">
        <v>68</v>
      </c>
      <c r="D1075" s="2">
        <v>87.9916671672</v>
      </c>
      <c r="E1075" s="2">
        <v>0.234434828</v>
      </c>
      <c r="F1075" s="2">
        <v>1467.5782816584</v>
      </c>
      <c r="G1075" s="2">
        <v>0.1669192226</v>
      </c>
      <c r="H1075" s="2">
        <v>5.665563157E-4</v>
      </c>
    </row>
    <row r="1076" ht="14.25" customHeight="1">
      <c r="A1076" s="2" t="s">
        <v>125</v>
      </c>
      <c r="B1076" s="2" t="s">
        <v>214</v>
      </c>
      <c r="C1076" s="2" t="s">
        <v>60</v>
      </c>
      <c r="D1076" s="2">
        <v>0.0</v>
      </c>
      <c r="E1076" s="2">
        <v>0.0</v>
      </c>
      <c r="F1076" s="2">
        <v>0.0</v>
      </c>
      <c r="G1076" s="2">
        <v>0.0</v>
      </c>
      <c r="H1076" s="2">
        <v>0.0</v>
      </c>
    </row>
    <row r="1077" ht="14.25" customHeight="1">
      <c r="A1077" s="2" t="s">
        <v>125</v>
      </c>
      <c r="B1077" s="2" t="s">
        <v>214</v>
      </c>
      <c r="C1077" s="2" t="s">
        <v>61</v>
      </c>
      <c r="D1077" s="2">
        <v>0.0</v>
      </c>
      <c r="E1077" s="2">
        <v>0.0</v>
      </c>
      <c r="F1077" s="2">
        <v>0.0</v>
      </c>
      <c r="G1077" s="2">
        <v>0.0</v>
      </c>
      <c r="H1077" s="2">
        <v>0.0</v>
      </c>
    </row>
    <row r="1078" ht="14.25" customHeight="1">
      <c r="A1078" s="2" t="s">
        <v>125</v>
      </c>
      <c r="B1078" s="2" t="s">
        <v>214</v>
      </c>
      <c r="C1078" s="2" t="s">
        <v>62</v>
      </c>
      <c r="D1078" s="2">
        <v>0.0</v>
      </c>
      <c r="E1078" s="2">
        <v>0.0</v>
      </c>
      <c r="F1078" s="2">
        <v>0.0</v>
      </c>
      <c r="G1078" s="2">
        <v>0.0</v>
      </c>
      <c r="H1078" s="2">
        <v>0.0</v>
      </c>
    </row>
    <row r="1079" ht="14.25" customHeight="1">
      <c r="A1079" s="2" t="s">
        <v>125</v>
      </c>
      <c r="B1079" s="2" t="s">
        <v>214</v>
      </c>
      <c r="C1079" s="2" t="s">
        <v>63</v>
      </c>
      <c r="D1079" s="2">
        <v>0.0</v>
      </c>
      <c r="E1079" s="2">
        <v>0.0</v>
      </c>
      <c r="F1079" s="2">
        <v>0.0</v>
      </c>
      <c r="G1079" s="2">
        <v>0.0</v>
      </c>
      <c r="H1079" s="2">
        <v>0.0</v>
      </c>
    </row>
    <row r="1080" ht="14.25" customHeight="1">
      <c r="A1080" s="2" t="s">
        <v>125</v>
      </c>
      <c r="B1080" s="2" t="s">
        <v>214</v>
      </c>
      <c r="C1080" s="2" t="s">
        <v>64</v>
      </c>
      <c r="D1080" s="2">
        <v>0.0</v>
      </c>
      <c r="E1080" s="2">
        <v>0.0</v>
      </c>
      <c r="F1080" s="2">
        <v>0.0</v>
      </c>
      <c r="G1080" s="2">
        <v>0.0</v>
      </c>
      <c r="H1080" s="2">
        <v>0.0</v>
      </c>
    </row>
    <row r="1081" ht="14.25" customHeight="1">
      <c r="A1081" s="2" t="s">
        <v>125</v>
      </c>
      <c r="B1081" s="2" t="s">
        <v>214</v>
      </c>
      <c r="C1081" s="2" t="s">
        <v>65</v>
      </c>
      <c r="D1081" s="2">
        <v>0.0</v>
      </c>
      <c r="E1081" s="2">
        <v>0.0</v>
      </c>
      <c r="F1081" s="2">
        <v>0.0</v>
      </c>
      <c r="G1081" s="2">
        <v>0.0</v>
      </c>
      <c r="H1081" s="2">
        <v>0.0</v>
      </c>
    </row>
    <row r="1082" ht="14.25" customHeight="1">
      <c r="A1082" s="2" t="s">
        <v>125</v>
      </c>
      <c r="B1082" s="2" t="s">
        <v>214</v>
      </c>
      <c r="C1082" s="2" t="s">
        <v>65</v>
      </c>
      <c r="D1082" s="2">
        <v>0.0</v>
      </c>
      <c r="E1082" s="2">
        <v>0.0</v>
      </c>
      <c r="F1082" s="2">
        <v>0.0</v>
      </c>
      <c r="G1082" s="2">
        <v>0.0</v>
      </c>
      <c r="H1082" s="2">
        <v>0.0</v>
      </c>
    </row>
    <row r="1083" ht="14.25" customHeight="1">
      <c r="A1083" s="2" t="s">
        <v>125</v>
      </c>
      <c r="B1083" s="2" t="s">
        <v>214</v>
      </c>
      <c r="C1083" s="2" t="s">
        <v>66</v>
      </c>
      <c r="D1083" s="2">
        <v>0.0</v>
      </c>
      <c r="E1083" s="2">
        <v>0.0</v>
      </c>
      <c r="F1083" s="2">
        <v>0.0</v>
      </c>
      <c r="G1083" s="2">
        <v>0.0</v>
      </c>
      <c r="H1083" s="2">
        <v>0.0</v>
      </c>
    </row>
    <row r="1084" ht="14.25" customHeight="1">
      <c r="A1084" s="2" t="s">
        <v>125</v>
      </c>
      <c r="B1084" s="2" t="s">
        <v>214</v>
      </c>
      <c r="C1084" s="2" t="s">
        <v>67</v>
      </c>
      <c r="D1084" s="2">
        <v>0.0</v>
      </c>
      <c r="E1084" s="2">
        <v>0.0</v>
      </c>
      <c r="F1084" s="2">
        <v>0.0</v>
      </c>
      <c r="G1084" s="2">
        <v>0.0</v>
      </c>
      <c r="H1084" s="2">
        <v>0.0</v>
      </c>
    </row>
    <row r="1085" ht="14.25" customHeight="1">
      <c r="A1085" s="2" t="s">
        <v>125</v>
      </c>
      <c r="B1085" s="2" t="s">
        <v>214</v>
      </c>
      <c r="C1085" s="2" t="s">
        <v>68</v>
      </c>
      <c r="D1085" s="2">
        <v>0.0</v>
      </c>
      <c r="E1085" s="2">
        <v>0.0</v>
      </c>
      <c r="F1085" s="2">
        <v>0.0</v>
      </c>
      <c r="G1085" s="2">
        <v>0.0</v>
      </c>
      <c r="H1085" s="2">
        <v>0.0</v>
      </c>
    </row>
    <row r="1086" ht="14.25" customHeight="1">
      <c r="A1086" s="2" t="s">
        <v>125</v>
      </c>
      <c r="B1086" s="2" t="s">
        <v>22</v>
      </c>
      <c r="C1086" s="2" t="s">
        <v>10</v>
      </c>
      <c r="D1086" s="2">
        <v>2318.293295377258</v>
      </c>
      <c r="E1086" s="2">
        <v>30.148238437452</v>
      </c>
      <c r="F1086" s="2">
        <v>67869.94640050057</v>
      </c>
      <c r="G1086" s="2">
        <v>67.343848006464</v>
      </c>
      <c r="H1086" s="2">
        <v>4.0532124830537</v>
      </c>
    </row>
    <row r="1087" ht="14.25" customHeight="1">
      <c r="A1087" s="2" t="s">
        <v>125</v>
      </c>
      <c r="B1087" s="2" t="s">
        <v>23</v>
      </c>
      <c r="C1087" s="2" t="s">
        <v>10</v>
      </c>
      <c r="D1087" s="2">
        <v>0.0</v>
      </c>
      <c r="E1087" s="2">
        <v>0.0</v>
      </c>
      <c r="F1087" s="2">
        <v>0.0</v>
      </c>
      <c r="G1087" s="2">
        <v>0.0</v>
      </c>
      <c r="H1087" s="2">
        <v>0.0</v>
      </c>
    </row>
    <row r="1088" ht="14.25" customHeight="1">
      <c r="A1088" s="2" t="s">
        <v>125</v>
      </c>
      <c r="B1088" s="2" t="s">
        <v>29</v>
      </c>
      <c r="C1088" s="2" t="s">
        <v>10</v>
      </c>
      <c r="D1088" s="2">
        <v>0.0</v>
      </c>
      <c r="E1088" s="2">
        <v>0.0</v>
      </c>
      <c r="F1088" s="2">
        <v>0.0</v>
      </c>
      <c r="G1088" s="2">
        <v>0.0</v>
      </c>
      <c r="H1088" s="2">
        <v>0.0</v>
      </c>
    </row>
    <row r="1089" ht="14.25" customHeight="1">
      <c r="A1089" s="2" t="s">
        <v>125</v>
      </c>
      <c r="B1089" s="2" t="s">
        <v>18</v>
      </c>
      <c r="C1089" s="2" t="s">
        <v>10</v>
      </c>
      <c r="D1089" s="2">
        <v>0.0</v>
      </c>
      <c r="E1089" s="2">
        <v>0.0</v>
      </c>
      <c r="F1089" s="2">
        <v>0.0</v>
      </c>
      <c r="G1089" s="2">
        <v>0.0</v>
      </c>
      <c r="H1089" s="2">
        <v>0.0</v>
      </c>
    </row>
    <row r="1090" ht="14.25" customHeight="1">
      <c r="A1090" s="2" t="s">
        <v>126</v>
      </c>
      <c r="B1090" s="2" t="s">
        <v>70</v>
      </c>
      <c r="C1090" s="2" t="s">
        <v>54</v>
      </c>
      <c r="D1090" s="2">
        <v>6455.640394672</v>
      </c>
      <c r="E1090" s="2">
        <v>5071.89676328</v>
      </c>
      <c r="F1090" s="2">
        <v>86196.138675584</v>
      </c>
      <c r="G1090" s="2">
        <v>82.509288916</v>
      </c>
      <c r="H1090" s="2">
        <v>0.350033170282</v>
      </c>
    </row>
    <row r="1091" ht="14.25" customHeight="1">
      <c r="A1091" s="2" t="s">
        <v>126</v>
      </c>
      <c r="B1091" s="2" t="s">
        <v>70</v>
      </c>
      <c r="C1091" s="2" t="s">
        <v>122</v>
      </c>
      <c r="D1091" s="2">
        <v>164.71122122</v>
      </c>
      <c r="E1091" s="2">
        <v>2.11440684</v>
      </c>
      <c r="F1091" s="2">
        <v>24265.2538492</v>
      </c>
      <c r="G1091" s="2">
        <v>6.60126376</v>
      </c>
      <c r="H1091" s="2">
        <v>0.023894052</v>
      </c>
    </row>
    <row r="1092" ht="14.25" customHeight="1">
      <c r="A1092" s="2" t="s">
        <v>126</v>
      </c>
      <c r="B1092" s="2" t="s">
        <v>70</v>
      </c>
      <c r="C1092" s="2" t="s">
        <v>124</v>
      </c>
      <c r="D1092" s="2">
        <v>16.38718306848</v>
      </c>
      <c r="E1092" s="2">
        <v>0.2153619846</v>
      </c>
      <c r="F1092" s="2">
        <v>427.70503416186</v>
      </c>
      <c r="G1092" s="2">
        <v>2.14090539395859</v>
      </c>
      <c r="H1092" s="2">
        <v>0.1911062794408425</v>
      </c>
    </row>
    <row r="1093" ht="14.25" customHeight="1">
      <c r="A1093" s="2" t="s">
        <v>126</v>
      </c>
      <c r="B1093" s="2" t="s">
        <v>70</v>
      </c>
      <c r="C1093" s="2" t="s">
        <v>55</v>
      </c>
      <c r="D1093" s="2">
        <v>5.177018605</v>
      </c>
      <c r="E1093" s="2">
        <v>0.0125837053625</v>
      </c>
      <c r="F1093" s="2">
        <v>137.5267679975</v>
      </c>
      <c r="G1093" s="2">
        <v>0.100790794625</v>
      </c>
      <c r="H1093" s="2">
        <v>3.8161400125E-4</v>
      </c>
    </row>
    <row r="1094" ht="14.25" customHeight="1">
      <c r="A1094" s="2" t="s">
        <v>126</v>
      </c>
      <c r="B1094" s="2" t="s">
        <v>215</v>
      </c>
      <c r="C1094" s="2" t="s">
        <v>54</v>
      </c>
      <c r="D1094" s="2">
        <v>0.0</v>
      </c>
      <c r="E1094" s="2">
        <v>0.0</v>
      </c>
      <c r="F1094" s="2">
        <v>0.0</v>
      </c>
      <c r="G1094" s="2">
        <v>0.0</v>
      </c>
      <c r="H1094" s="2">
        <v>0.0</v>
      </c>
    </row>
    <row r="1095" ht="14.25" customHeight="1">
      <c r="A1095" s="2" t="s">
        <v>126</v>
      </c>
      <c r="B1095" s="2" t="s">
        <v>215</v>
      </c>
      <c r="C1095" s="2" t="s">
        <v>122</v>
      </c>
      <c r="D1095" s="2">
        <v>0.0</v>
      </c>
      <c r="E1095" s="2">
        <v>0.0</v>
      </c>
      <c r="F1095" s="2">
        <v>0.0</v>
      </c>
      <c r="G1095" s="2">
        <v>0.0</v>
      </c>
      <c r="H1095" s="2">
        <v>0.0</v>
      </c>
    </row>
    <row r="1096" ht="14.25" customHeight="1">
      <c r="A1096" s="2" t="s">
        <v>126</v>
      </c>
      <c r="B1096" s="2" t="s">
        <v>215</v>
      </c>
      <c r="C1096" s="2" t="s">
        <v>124</v>
      </c>
      <c r="D1096" s="2">
        <v>0.0</v>
      </c>
      <c r="E1096" s="2">
        <v>0.0</v>
      </c>
      <c r="F1096" s="2">
        <v>0.0</v>
      </c>
      <c r="G1096" s="2">
        <v>0.0</v>
      </c>
      <c r="H1096" s="2">
        <v>0.0</v>
      </c>
    </row>
    <row r="1097" ht="14.25" customHeight="1">
      <c r="A1097" s="2" t="s">
        <v>126</v>
      </c>
      <c r="B1097" s="2" t="s">
        <v>215</v>
      </c>
      <c r="C1097" s="2" t="s">
        <v>55</v>
      </c>
      <c r="D1097" s="2">
        <v>0.0</v>
      </c>
      <c r="E1097" s="2">
        <v>0.0</v>
      </c>
      <c r="F1097" s="2">
        <v>0.0</v>
      </c>
      <c r="G1097" s="2">
        <v>0.0</v>
      </c>
      <c r="H1097" s="2">
        <v>0.0</v>
      </c>
    </row>
    <row r="1098" ht="14.25" customHeight="1">
      <c r="A1098" s="2" t="s">
        <v>126</v>
      </c>
      <c r="B1098" s="2" t="s">
        <v>70</v>
      </c>
      <c r="C1098" s="2" t="s">
        <v>10</v>
      </c>
      <c r="D1098" s="2">
        <v>6641.91581756548</v>
      </c>
      <c r="E1098" s="2">
        <v>5074.239115809963</v>
      </c>
      <c r="F1098" s="2">
        <v>111026.6243269434</v>
      </c>
      <c r="G1098" s="2">
        <v>91.35224886458359</v>
      </c>
      <c r="H1098" s="2">
        <v>0.5654151157240925</v>
      </c>
    </row>
    <row r="1099" ht="14.25" customHeight="1">
      <c r="A1099" s="2" t="s">
        <v>126</v>
      </c>
      <c r="B1099" s="2" t="s">
        <v>18</v>
      </c>
      <c r="C1099" s="2" t="s">
        <v>10</v>
      </c>
      <c r="D1099" s="2">
        <v>0.0</v>
      </c>
      <c r="E1099" s="2">
        <v>0.0</v>
      </c>
      <c r="F1099" s="2">
        <v>0.0</v>
      </c>
      <c r="G1099" s="2">
        <v>0.0</v>
      </c>
      <c r="H1099" s="2">
        <v>0.0</v>
      </c>
    </row>
    <row r="1100" ht="14.25" customHeight="1">
      <c r="A1100" s="2" t="s">
        <v>127</v>
      </c>
      <c r="B1100" s="2" t="s">
        <v>53</v>
      </c>
      <c r="C1100" s="2" t="s">
        <v>54</v>
      </c>
      <c r="D1100" s="2">
        <v>13715.754</v>
      </c>
      <c r="E1100" s="2">
        <v>1491.60813</v>
      </c>
      <c r="F1100" s="2">
        <v>188405.20143</v>
      </c>
      <c r="G1100" s="2">
        <v>67.411608</v>
      </c>
      <c r="H1100" s="2">
        <v>0.442017</v>
      </c>
    </row>
    <row r="1101" ht="14.25" customHeight="1">
      <c r="A1101" s="2" t="s">
        <v>127</v>
      </c>
      <c r="B1101" s="2" t="s">
        <v>53</v>
      </c>
      <c r="C1101" s="2" t="s">
        <v>54</v>
      </c>
      <c r="D1101" s="2">
        <v>91.43836</v>
      </c>
      <c r="E1101" s="2">
        <v>9.9440542</v>
      </c>
      <c r="F1101" s="2">
        <v>1256.0346762</v>
      </c>
      <c r="G1101" s="2">
        <v>0.44941072</v>
      </c>
      <c r="H1101" s="2">
        <v>0.00294678</v>
      </c>
    </row>
    <row r="1102" ht="14.25" customHeight="1">
      <c r="A1102" s="2" t="s">
        <v>127</v>
      </c>
      <c r="B1102" s="2" t="s">
        <v>53</v>
      </c>
      <c r="C1102" s="2" t="s">
        <v>128</v>
      </c>
      <c r="D1102" s="2">
        <v>275.303041182</v>
      </c>
      <c r="E1102" s="2">
        <v>3.534080004</v>
      </c>
      <c r="F1102" s="2">
        <v>40557.63857652</v>
      </c>
      <c r="G1102" s="2">
        <v>11.033540856</v>
      </c>
      <c r="H1102" s="2">
        <v>0.0399372012</v>
      </c>
    </row>
    <row r="1103" ht="14.25" customHeight="1">
      <c r="A1103" s="2" t="s">
        <v>127</v>
      </c>
      <c r="B1103" s="2" t="s">
        <v>53</v>
      </c>
      <c r="C1103" s="2" t="s">
        <v>122</v>
      </c>
      <c r="D1103" s="2">
        <v>275.303041182</v>
      </c>
      <c r="E1103" s="2">
        <v>3.534080004</v>
      </c>
      <c r="F1103" s="2">
        <v>40557.63857652</v>
      </c>
      <c r="G1103" s="2">
        <v>11.033540856</v>
      </c>
      <c r="H1103" s="2">
        <v>0.0399372012</v>
      </c>
    </row>
    <row r="1104" ht="14.25" customHeight="1">
      <c r="A1104" s="2" t="s">
        <v>127</v>
      </c>
      <c r="B1104" s="2" t="s">
        <v>53</v>
      </c>
      <c r="C1104" s="2" t="s">
        <v>123</v>
      </c>
      <c r="D1104" s="2">
        <v>96.37506955461</v>
      </c>
      <c r="E1104" s="2">
        <v>1.23717197142</v>
      </c>
      <c r="F1104" s="2">
        <v>14197.9733387646</v>
      </c>
      <c r="G1104" s="2">
        <v>3.86250098388</v>
      </c>
      <c r="H1104" s="2">
        <v>0.013980777426</v>
      </c>
    </row>
    <row r="1105" ht="14.25" customHeight="1">
      <c r="A1105" s="2" t="s">
        <v>127</v>
      </c>
      <c r="B1105" s="2" t="s">
        <v>53</v>
      </c>
      <c r="C1105" s="2" t="s">
        <v>123</v>
      </c>
      <c r="D1105" s="2">
        <v>39.03474941572</v>
      </c>
      <c r="E1105" s="2">
        <v>0.50109118584</v>
      </c>
      <c r="F1105" s="2">
        <v>5750.5985111192</v>
      </c>
      <c r="G1105" s="2">
        <v>1.56442696976</v>
      </c>
      <c r="H1105" s="2">
        <v>0.005662627752</v>
      </c>
    </row>
    <row r="1106" ht="14.25" customHeight="1">
      <c r="A1106" s="2" t="s">
        <v>127</v>
      </c>
      <c r="B1106" s="2" t="s">
        <v>53</v>
      </c>
      <c r="C1106" s="2" t="s">
        <v>124</v>
      </c>
      <c r="D1106" s="2">
        <v>162.295840161</v>
      </c>
      <c r="E1106" s="2">
        <v>2.149420959</v>
      </c>
      <c r="F1106" s="2">
        <v>4250.7650178</v>
      </c>
      <c r="G1106" s="2">
        <v>21.3784134211242</v>
      </c>
      <c r="H1106" s="2">
        <v>1.911052647</v>
      </c>
    </row>
    <row r="1107" ht="14.25" customHeight="1">
      <c r="A1107" s="2" t="s">
        <v>127</v>
      </c>
      <c r="B1107" s="2" t="s">
        <v>53</v>
      </c>
      <c r="C1107" s="2" t="s">
        <v>55</v>
      </c>
      <c r="D1107" s="2">
        <v>11.54887587</v>
      </c>
      <c r="E1107" s="2">
        <v>0.1402614915</v>
      </c>
      <c r="F1107" s="2">
        <v>1648.481487275</v>
      </c>
      <c r="G1107" s="2">
        <v>0.44840103625</v>
      </c>
      <c r="H1107" s="2">
        <v>0.001582174615</v>
      </c>
    </row>
    <row r="1108" ht="14.25" customHeight="1">
      <c r="A1108" s="2" t="s">
        <v>127</v>
      </c>
      <c r="B1108" s="2" t="s">
        <v>213</v>
      </c>
      <c r="C1108" s="2" t="s">
        <v>54</v>
      </c>
      <c r="D1108" s="2">
        <v>0.0</v>
      </c>
      <c r="E1108" s="2">
        <v>0.0</v>
      </c>
      <c r="F1108" s="2">
        <v>0.0</v>
      </c>
      <c r="G1108" s="2">
        <v>0.0</v>
      </c>
      <c r="H1108" s="2">
        <v>0.0</v>
      </c>
    </row>
    <row r="1109" ht="14.25" customHeight="1">
      <c r="A1109" s="2" t="s">
        <v>127</v>
      </c>
      <c r="B1109" s="2" t="s">
        <v>213</v>
      </c>
      <c r="C1109" s="2" t="s">
        <v>54</v>
      </c>
      <c r="D1109" s="2">
        <v>0.0</v>
      </c>
      <c r="E1109" s="2">
        <v>0.0</v>
      </c>
      <c r="F1109" s="2">
        <v>0.0</v>
      </c>
      <c r="G1109" s="2">
        <v>0.0</v>
      </c>
      <c r="H1109" s="2">
        <v>0.0</v>
      </c>
    </row>
    <row r="1110" ht="14.25" customHeight="1">
      <c r="A1110" s="2" t="s">
        <v>127</v>
      </c>
      <c r="B1110" s="2" t="s">
        <v>213</v>
      </c>
      <c r="C1110" s="2" t="s">
        <v>128</v>
      </c>
      <c r="D1110" s="2">
        <v>0.0</v>
      </c>
      <c r="E1110" s="2">
        <v>0.0</v>
      </c>
      <c r="F1110" s="2">
        <v>0.0</v>
      </c>
      <c r="G1110" s="2">
        <v>0.0</v>
      </c>
      <c r="H1110" s="2">
        <v>0.0</v>
      </c>
    </row>
    <row r="1111" ht="14.25" customHeight="1">
      <c r="A1111" s="2" t="s">
        <v>127</v>
      </c>
      <c r="B1111" s="2" t="s">
        <v>213</v>
      </c>
      <c r="C1111" s="2" t="s">
        <v>122</v>
      </c>
      <c r="D1111" s="2">
        <v>0.0</v>
      </c>
      <c r="E1111" s="2">
        <v>0.0</v>
      </c>
      <c r="F1111" s="2">
        <v>0.0</v>
      </c>
      <c r="G1111" s="2">
        <v>0.0</v>
      </c>
      <c r="H1111" s="2">
        <v>0.0</v>
      </c>
    </row>
    <row r="1112" ht="14.25" customHeight="1">
      <c r="A1112" s="2" t="s">
        <v>127</v>
      </c>
      <c r="B1112" s="2" t="s">
        <v>213</v>
      </c>
      <c r="C1112" s="2" t="s">
        <v>123</v>
      </c>
      <c r="D1112" s="2">
        <v>0.0</v>
      </c>
      <c r="E1112" s="2">
        <v>0.0</v>
      </c>
      <c r="F1112" s="2">
        <v>0.0</v>
      </c>
      <c r="G1112" s="2">
        <v>0.0</v>
      </c>
      <c r="H1112" s="2">
        <v>0.0</v>
      </c>
    </row>
    <row r="1113" ht="14.25" customHeight="1">
      <c r="A1113" s="2" t="s">
        <v>127</v>
      </c>
      <c r="B1113" s="2" t="s">
        <v>213</v>
      </c>
      <c r="C1113" s="2" t="s">
        <v>123</v>
      </c>
      <c r="D1113" s="2">
        <v>0.0</v>
      </c>
      <c r="E1113" s="2">
        <v>0.0</v>
      </c>
      <c r="F1113" s="2">
        <v>0.0</v>
      </c>
      <c r="G1113" s="2">
        <v>0.0</v>
      </c>
      <c r="H1113" s="2">
        <v>0.0</v>
      </c>
    </row>
    <row r="1114" ht="14.25" customHeight="1">
      <c r="A1114" s="2" t="s">
        <v>127</v>
      </c>
      <c r="B1114" s="2" t="s">
        <v>213</v>
      </c>
      <c r="C1114" s="2" t="s">
        <v>124</v>
      </c>
      <c r="D1114" s="2">
        <v>0.0</v>
      </c>
      <c r="E1114" s="2">
        <v>0.0</v>
      </c>
      <c r="F1114" s="2">
        <v>0.0</v>
      </c>
      <c r="G1114" s="2">
        <v>0.0</v>
      </c>
      <c r="H1114" s="2">
        <v>0.0</v>
      </c>
    </row>
    <row r="1115" ht="14.25" customHeight="1">
      <c r="A1115" s="2" t="s">
        <v>127</v>
      </c>
      <c r="B1115" s="2" t="s">
        <v>213</v>
      </c>
      <c r="C1115" s="2" t="s">
        <v>55</v>
      </c>
      <c r="D1115" s="2">
        <v>0.0</v>
      </c>
      <c r="E1115" s="2">
        <v>0.0</v>
      </c>
      <c r="F1115" s="2">
        <v>0.0</v>
      </c>
      <c r="G1115" s="2">
        <v>0.0</v>
      </c>
      <c r="H1115" s="2">
        <v>0.0</v>
      </c>
    </row>
    <row r="1116" ht="14.25" customHeight="1">
      <c r="A1116" s="2" t="s">
        <v>127</v>
      </c>
      <c r="B1116" s="2" t="s">
        <v>53</v>
      </c>
      <c r="C1116" s="2" t="s">
        <v>10</v>
      </c>
      <c r="D1116" s="2">
        <v>14667.05297736533</v>
      </c>
      <c r="E1116" s="2">
        <v>1512.64828981576</v>
      </c>
      <c r="F1116" s="2">
        <v>296624.3316141988</v>
      </c>
      <c r="G1116" s="2">
        <v>117.1818428430142</v>
      </c>
      <c r="H1116" s="2">
        <v>2.457116409193</v>
      </c>
    </row>
    <row r="1117" ht="14.25" customHeight="1">
      <c r="A1117" s="2" t="s">
        <v>127</v>
      </c>
      <c r="B1117" s="2" t="s">
        <v>18</v>
      </c>
      <c r="C1117" s="2" t="s">
        <v>10</v>
      </c>
      <c r="D1117" s="2">
        <v>0.0</v>
      </c>
      <c r="E1117" s="2">
        <v>0.0</v>
      </c>
      <c r="F1117" s="2">
        <v>0.0</v>
      </c>
      <c r="G1117" s="2">
        <v>0.0</v>
      </c>
      <c r="H1117" s="2">
        <v>0.0</v>
      </c>
    </row>
    <row r="1118" ht="14.25" customHeight="1">
      <c r="A1118" s="2" t="s">
        <v>129</v>
      </c>
      <c r="B1118" s="2" t="s">
        <v>84</v>
      </c>
      <c r="C1118" s="2" t="s">
        <v>85</v>
      </c>
      <c r="D1118" s="2">
        <v>426.7548420279527</v>
      </c>
      <c r="E1118" s="2">
        <v>17.53025800538257</v>
      </c>
      <c r="F1118" s="2">
        <v>7891.270352593063</v>
      </c>
      <c r="G1118" s="2">
        <v>3.554262987357935</v>
      </c>
      <c r="H1118" s="2">
        <v>0.01578609103641849</v>
      </c>
    </row>
    <row r="1119" ht="14.25" customHeight="1">
      <c r="A1119" s="2" t="s">
        <v>129</v>
      </c>
      <c r="B1119" s="2" t="s">
        <v>84</v>
      </c>
      <c r="C1119" s="2" t="s">
        <v>85</v>
      </c>
      <c r="D1119" s="2">
        <v>89.16155056288896</v>
      </c>
      <c r="E1119" s="2">
        <v>0.4420984128773</v>
      </c>
      <c r="F1119" s="2">
        <v>2252.845874873356</v>
      </c>
      <c r="G1119" s="2">
        <v>1.13775740631578</v>
      </c>
      <c r="H1119" s="2">
        <v>0.003267256036569761</v>
      </c>
    </row>
    <row r="1120" ht="14.25" customHeight="1">
      <c r="A1120" s="2" t="s">
        <v>129</v>
      </c>
      <c r="B1120" s="2" t="s">
        <v>84</v>
      </c>
      <c r="C1120" s="2" t="s">
        <v>85</v>
      </c>
      <c r="D1120" s="2">
        <v>6077.113271635711</v>
      </c>
      <c r="E1120" s="2">
        <v>58.84863308392848</v>
      </c>
      <c r="F1120" s="2">
        <v>79444.28491756944</v>
      </c>
      <c r="G1120" s="2">
        <v>37.78188177802519</v>
      </c>
      <c r="H1120" s="2">
        <v>0.1503170985925009</v>
      </c>
    </row>
    <row r="1121" ht="14.25" customHeight="1">
      <c r="A1121" s="2" t="s">
        <v>129</v>
      </c>
      <c r="B1121" s="2" t="s">
        <v>84</v>
      </c>
      <c r="C1121" s="2" t="s">
        <v>85</v>
      </c>
      <c r="D1121" s="2">
        <v>1727.756388047344</v>
      </c>
      <c r="E1121" s="2">
        <v>159.5650169269092</v>
      </c>
      <c r="F1121" s="2">
        <v>29526.50640584389</v>
      </c>
      <c r="G1121" s="2">
        <v>19.94716324674414</v>
      </c>
      <c r="H1121" s="2">
        <v>0.07802461197523324</v>
      </c>
    </row>
    <row r="1122" ht="14.25" customHeight="1">
      <c r="A1122" s="2" t="s">
        <v>129</v>
      </c>
      <c r="B1122" s="2" t="s">
        <v>84</v>
      </c>
      <c r="C1122" s="2" t="s">
        <v>16</v>
      </c>
      <c r="D1122" s="2">
        <v>194.944127056056</v>
      </c>
      <c r="E1122" s="2">
        <v>2.57980901724</v>
      </c>
      <c r="F1122" s="2">
        <v>5104.072260218232</v>
      </c>
      <c r="G1122" s="2">
        <v>25.68763591992108</v>
      </c>
      <c r="H1122" s="2">
        <v>2.293264394089011</v>
      </c>
    </row>
    <row r="1123" ht="14.25" customHeight="1">
      <c r="A1123" s="2" t="s">
        <v>129</v>
      </c>
      <c r="B1123" s="2" t="s">
        <v>84</v>
      </c>
      <c r="C1123" s="2" t="s">
        <v>17</v>
      </c>
      <c r="D1123" s="2">
        <v>62.94458466</v>
      </c>
      <c r="E1123" s="2">
        <v>0.1340207658</v>
      </c>
      <c r="F1123" s="2">
        <v>1341.008097882</v>
      </c>
      <c r="G1123" s="2">
        <v>1.3100769075</v>
      </c>
      <c r="H1123" s="2">
        <v>0.001852054338</v>
      </c>
    </row>
    <row r="1124" ht="14.25" customHeight="1">
      <c r="A1124" s="2" t="s">
        <v>129</v>
      </c>
      <c r="B1124" s="2" t="s">
        <v>219</v>
      </c>
      <c r="C1124" s="2" t="s">
        <v>85</v>
      </c>
      <c r="D1124" s="2">
        <v>0.0</v>
      </c>
      <c r="E1124" s="2">
        <v>0.0</v>
      </c>
      <c r="F1124" s="2">
        <v>0.0</v>
      </c>
      <c r="G1124" s="2">
        <v>0.0</v>
      </c>
      <c r="H1124" s="2">
        <v>0.0</v>
      </c>
    </row>
    <row r="1125" ht="14.25" customHeight="1">
      <c r="A1125" s="2" t="s">
        <v>129</v>
      </c>
      <c r="B1125" s="2" t="s">
        <v>219</v>
      </c>
      <c r="C1125" s="2" t="s">
        <v>85</v>
      </c>
      <c r="D1125" s="2">
        <v>0.0</v>
      </c>
      <c r="E1125" s="2">
        <v>0.0</v>
      </c>
      <c r="F1125" s="2">
        <v>0.0</v>
      </c>
      <c r="G1125" s="2">
        <v>0.0</v>
      </c>
      <c r="H1125" s="2">
        <v>0.0</v>
      </c>
    </row>
    <row r="1126" ht="14.25" customHeight="1">
      <c r="A1126" s="2" t="s">
        <v>129</v>
      </c>
      <c r="B1126" s="2" t="s">
        <v>219</v>
      </c>
      <c r="C1126" s="2" t="s">
        <v>85</v>
      </c>
      <c r="D1126" s="2">
        <v>0.0</v>
      </c>
      <c r="E1126" s="2">
        <v>0.0</v>
      </c>
      <c r="F1126" s="2">
        <v>0.0</v>
      </c>
      <c r="G1126" s="2">
        <v>0.0</v>
      </c>
      <c r="H1126" s="2">
        <v>0.0</v>
      </c>
    </row>
    <row r="1127" ht="14.25" customHeight="1">
      <c r="A1127" s="2" t="s">
        <v>129</v>
      </c>
      <c r="B1127" s="2" t="s">
        <v>219</v>
      </c>
      <c r="C1127" s="2" t="s">
        <v>85</v>
      </c>
      <c r="D1127" s="2">
        <v>0.0</v>
      </c>
      <c r="E1127" s="2">
        <v>0.0</v>
      </c>
      <c r="F1127" s="2">
        <v>0.0</v>
      </c>
      <c r="G1127" s="2">
        <v>0.0</v>
      </c>
      <c r="H1127" s="2">
        <v>0.0</v>
      </c>
    </row>
    <row r="1128" ht="14.25" customHeight="1">
      <c r="A1128" s="2" t="s">
        <v>129</v>
      </c>
      <c r="B1128" s="2" t="s">
        <v>219</v>
      </c>
      <c r="C1128" s="2" t="s">
        <v>16</v>
      </c>
      <c r="D1128" s="2">
        <v>0.0</v>
      </c>
      <c r="E1128" s="2">
        <v>0.0</v>
      </c>
      <c r="F1128" s="2">
        <v>0.0</v>
      </c>
      <c r="G1128" s="2">
        <v>0.0</v>
      </c>
      <c r="H1128" s="2">
        <v>0.0</v>
      </c>
    </row>
    <row r="1129" ht="14.25" customHeight="1">
      <c r="A1129" s="2" t="s">
        <v>129</v>
      </c>
      <c r="B1129" s="2" t="s">
        <v>219</v>
      </c>
      <c r="C1129" s="2" t="s">
        <v>17</v>
      </c>
      <c r="D1129" s="2">
        <v>0.0</v>
      </c>
      <c r="E1129" s="2">
        <v>0.0</v>
      </c>
      <c r="F1129" s="2">
        <v>0.0</v>
      </c>
      <c r="G1129" s="2">
        <v>0.0</v>
      </c>
      <c r="H1129" s="2">
        <v>0.0</v>
      </c>
    </row>
    <row r="1130" ht="14.25" customHeight="1">
      <c r="A1130" s="2" t="s">
        <v>129</v>
      </c>
      <c r="B1130" s="2" t="s">
        <v>84</v>
      </c>
      <c r="C1130" s="2" t="s">
        <v>10</v>
      </c>
      <c r="D1130" s="2">
        <v>8578.674763989953</v>
      </c>
      <c r="E1130" s="2">
        <v>239.0998362121375</v>
      </c>
      <c r="F1130" s="2">
        <v>125559.98790898</v>
      </c>
      <c r="G1130" s="2">
        <v>89.41877824586412</v>
      </c>
      <c r="H1130" s="2">
        <v>2.542511506067733</v>
      </c>
    </row>
    <row r="1131" ht="14.25" customHeight="1">
      <c r="A1131" s="2" t="s">
        <v>129</v>
      </c>
      <c r="B1131" s="2" t="s">
        <v>18</v>
      </c>
      <c r="C1131" s="2" t="s">
        <v>10</v>
      </c>
      <c r="D1131" s="2">
        <v>0.0</v>
      </c>
      <c r="E1131" s="2">
        <v>0.0</v>
      </c>
      <c r="F1131" s="2">
        <v>0.0</v>
      </c>
      <c r="G1131" s="2">
        <v>0.0</v>
      </c>
      <c r="H1131" s="2">
        <v>0.0</v>
      </c>
    </row>
    <row r="1132" ht="14.25" customHeight="1">
      <c r="A1132" s="2" t="s">
        <v>130</v>
      </c>
      <c r="B1132" s="2" t="s">
        <v>23</v>
      </c>
      <c r="C1132" s="2" t="s">
        <v>24</v>
      </c>
      <c r="D1132" s="2">
        <v>4160.3256852024</v>
      </c>
      <c r="E1132" s="2">
        <v>5.300948032</v>
      </c>
      <c r="F1132" s="2">
        <v>106990.4688416828</v>
      </c>
      <c r="G1132" s="2">
        <v>30.5636889257</v>
      </c>
      <c r="H1132" s="2">
        <v>0.56247766316815</v>
      </c>
    </row>
    <row r="1133" ht="14.25" customHeight="1">
      <c r="A1133" s="2" t="s">
        <v>130</v>
      </c>
      <c r="B1133" s="2" t="s">
        <v>23</v>
      </c>
      <c r="C1133" s="2" t="s">
        <v>24</v>
      </c>
      <c r="D1133" s="2">
        <v>85.9378603312</v>
      </c>
      <c r="E1133" s="2">
        <v>0.122707474</v>
      </c>
      <c r="F1133" s="2">
        <v>2401.0477663464</v>
      </c>
      <c r="G1133" s="2">
        <v>0.7609275146</v>
      </c>
      <c r="H1133" s="2">
        <v>0.0141615328397</v>
      </c>
    </row>
    <row r="1134" ht="14.25" customHeight="1">
      <c r="A1134" s="2" t="s">
        <v>130</v>
      </c>
      <c r="B1134" s="2" t="s">
        <v>23</v>
      </c>
      <c r="C1134" s="2" t="s">
        <v>25</v>
      </c>
      <c r="D1134" s="2">
        <v>153.9409078036</v>
      </c>
      <c r="E1134" s="2">
        <v>0.523694346</v>
      </c>
      <c r="F1134" s="2">
        <v>3108.7917076692</v>
      </c>
      <c r="G1134" s="2">
        <v>1.9731258913</v>
      </c>
      <c r="H1134" s="2">
        <v>0.00382838901535</v>
      </c>
    </row>
    <row r="1135" ht="14.25" customHeight="1">
      <c r="A1135" s="2" t="s">
        <v>130</v>
      </c>
      <c r="B1135" s="2" t="s">
        <v>23</v>
      </c>
      <c r="C1135" s="2" t="s">
        <v>25</v>
      </c>
      <c r="D1135" s="2">
        <v>14.80745060544</v>
      </c>
      <c r="E1135" s="2">
        <v>0.0504401616</v>
      </c>
      <c r="F1135" s="2">
        <v>299.34879191568</v>
      </c>
      <c r="G1135" s="2">
        <v>0.19077683052</v>
      </c>
      <c r="H1135" s="2">
        <v>3.6990940764E-4</v>
      </c>
    </row>
    <row r="1136" ht="14.25" customHeight="1">
      <c r="A1136" s="2" t="s">
        <v>130</v>
      </c>
      <c r="B1136" s="2" t="s">
        <v>23</v>
      </c>
      <c r="C1136" s="2" t="s">
        <v>25</v>
      </c>
      <c r="D1136" s="2">
        <v>34.55071807936</v>
      </c>
      <c r="E1136" s="2">
        <v>0.1176937104</v>
      </c>
      <c r="F1136" s="2">
        <v>698.48051446992</v>
      </c>
      <c r="G1136" s="2">
        <v>0.44514593788</v>
      </c>
      <c r="H1136" s="2">
        <v>8.6312195116E-4</v>
      </c>
    </row>
    <row r="1137" ht="14.25" customHeight="1">
      <c r="A1137" s="2" t="s">
        <v>130</v>
      </c>
      <c r="B1137" s="2" t="s">
        <v>23</v>
      </c>
      <c r="C1137" s="2" t="s">
        <v>25</v>
      </c>
      <c r="D1137" s="2">
        <v>7.391717755872</v>
      </c>
      <c r="E1137" s="2">
        <v>0.02518808928</v>
      </c>
      <c r="F1137" s="2">
        <v>149.474126823984</v>
      </c>
      <c r="G1137" s="2">
        <v>0.095365637076</v>
      </c>
      <c r="H1137" s="2">
        <v>1.84877390232E-4</v>
      </c>
    </row>
    <row r="1138" ht="14.25" customHeight="1">
      <c r="A1138" s="2" t="s">
        <v>130</v>
      </c>
      <c r="B1138" s="2" t="s">
        <v>23</v>
      </c>
      <c r="C1138" s="2" t="s">
        <v>31</v>
      </c>
      <c r="D1138" s="2">
        <v>8.0798047599228</v>
      </c>
      <c r="E1138" s="2">
        <v>0.002730663522</v>
      </c>
      <c r="F1138" s="2">
        <v>162.1400053015716</v>
      </c>
      <c r="G1138" s="2">
        <v>0.0881090916849</v>
      </c>
      <c r="H1138" s="2">
        <v>1.9757670544305E-4</v>
      </c>
    </row>
    <row r="1139" ht="14.25" customHeight="1">
      <c r="A1139" s="2" t="s">
        <v>130</v>
      </c>
      <c r="B1139" s="2" t="s">
        <v>23</v>
      </c>
      <c r="C1139" s="2" t="s">
        <v>32</v>
      </c>
      <c r="D1139" s="2">
        <v>76.8377349936</v>
      </c>
      <c r="E1139" s="2">
        <v>0.2424699165</v>
      </c>
      <c r="F1139" s="2">
        <v>2039.289180747</v>
      </c>
      <c r="G1139" s="2">
        <v>1.320383619</v>
      </c>
      <c r="H1139" s="2">
        <v>0.0063858999</v>
      </c>
    </row>
    <row r="1140" ht="14.25" customHeight="1">
      <c r="A1140" s="2" t="s">
        <v>130</v>
      </c>
      <c r="B1140" s="2" t="s">
        <v>23</v>
      </c>
      <c r="C1140" s="2" t="s">
        <v>32</v>
      </c>
      <c r="D1140" s="2">
        <v>57.16869578175</v>
      </c>
      <c r="E1140" s="2">
        <v>0.19228603425</v>
      </c>
      <c r="F1140" s="2">
        <v>1569.4573909425</v>
      </c>
      <c r="G1140" s="2">
        <v>1.16701788825</v>
      </c>
      <c r="H1140" s="2">
        <v>0.0054267135</v>
      </c>
    </row>
    <row r="1141" ht="14.25" customHeight="1">
      <c r="A1141" s="2" t="s">
        <v>130</v>
      </c>
      <c r="B1141" s="2" t="s">
        <v>23</v>
      </c>
      <c r="C1141" s="2" t="s">
        <v>26</v>
      </c>
      <c r="D1141" s="2">
        <v>83.8012656822</v>
      </c>
      <c r="E1141" s="2">
        <v>0.2084786501625</v>
      </c>
      <c r="F1141" s="2">
        <v>1991.98684682175</v>
      </c>
      <c r="G1141" s="2">
        <v>1.440818307375</v>
      </c>
      <c r="H1141" s="2">
        <v>0.005604761655</v>
      </c>
    </row>
    <row r="1142" ht="14.25" customHeight="1">
      <c r="A1142" s="2" t="s">
        <v>130</v>
      </c>
      <c r="B1142" s="2" t="s">
        <v>23</v>
      </c>
      <c r="C1142" s="2" t="s">
        <v>33</v>
      </c>
      <c r="D1142" s="2">
        <v>0.0</v>
      </c>
      <c r="E1142" s="2">
        <v>0.0</v>
      </c>
      <c r="F1142" s="2">
        <v>0.0</v>
      </c>
      <c r="G1142" s="2">
        <v>0.0</v>
      </c>
      <c r="H1142" s="2">
        <v>0.0</v>
      </c>
    </row>
    <row r="1143" ht="14.25" customHeight="1">
      <c r="A1143" s="2" t="s">
        <v>130</v>
      </c>
      <c r="B1143" s="2" t="s">
        <v>209</v>
      </c>
      <c r="C1143" s="2" t="s">
        <v>24</v>
      </c>
      <c r="D1143" s="2">
        <v>0.0</v>
      </c>
      <c r="E1143" s="2">
        <v>0.0</v>
      </c>
      <c r="F1143" s="2">
        <v>0.0</v>
      </c>
      <c r="G1143" s="2">
        <v>0.0</v>
      </c>
      <c r="H1143" s="2">
        <v>0.0</v>
      </c>
    </row>
    <row r="1144" ht="14.25" customHeight="1">
      <c r="A1144" s="2" t="s">
        <v>130</v>
      </c>
      <c r="B1144" s="2" t="s">
        <v>209</v>
      </c>
      <c r="C1144" s="2" t="s">
        <v>24</v>
      </c>
      <c r="D1144" s="2">
        <v>0.0</v>
      </c>
      <c r="E1144" s="2">
        <v>0.0</v>
      </c>
      <c r="F1144" s="2">
        <v>0.0</v>
      </c>
      <c r="G1144" s="2">
        <v>0.0</v>
      </c>
      <c r="H1144" s="2">
        <v>0.0</v>
      </c>
    </row>
    <row r="1145" ht="14.25" customHeight="1">
      <c r="A1145" s="2" t="s">
        <v>130</v>
      </c>
      <c r="B1145" s="2" t="s">
        <v>209</v>
      </c>
      <c r="C1145" s="2" t="s">
        <v>25</v>
      </c>
      <c r="D1145" s="2">
        <v>0.0</v>
      </c>
      <c r="E1145" s="2">
        <v>0.0</v>
      </c>
      <c r="F1145" s="2">
        <v>0.0</v>
      </c>
      <c r="G1145" s="2">
        <v>0.0</v>
      </c>
      <c r="H1145" s="2">
        <v>0.0</v>
      </c>
    </row>
    <row r="1146" ht="14.25" customHeight="1">
      <c r="A1146" s="2" t="s">
        <v>130</v>
      </c>
      <c r="B1146" s="2" t="s">
        <v>209</v>
      </c>
      <c r="C1146" s="2" t="s">
        <v>25</v>
      </c>
      <c r="D1146" s="2">
        <v>0.0</v>
      </c>
      <c r="E1146" s="2">
        <v>0.0</v>
      </c>
      <c r="F1146" s="2">
        <v>0.0</v>
      </c>
      <c r="G1146" s="2">
        <v>0.0</v>
      </c>
      <c r="H1146" s="2">
        <v>0.0</v>
      </c>
    </row>
    <row r="1147" ht="14.25" customHeight="1">
      <c r="A1147" s="2" t="s">
        <v>130</v>
      </c>
      <c r="B1147" s="2" t="s">
        <v>209</v>
      </c>
      <c r="C1147" s="2" t="s">
        <v>25</v>
      </c>
      <c r="D1147" s="2">
        <v>0.0</v>
      </c>
      <c r="E1147" s="2">
        <v>0.0</v>
      </c>
      <c r="F1147" s="2">
        <v>0.0</v>
      </c>
      <c r="G1147" s="2">
        <v>0.0</v>
      </c>
      <c r="H1147" s="2">
        <v>0.0</v>
      </c>
    </row>
    <row r="1148" ht="14.25" customHeight="1">
      <c r="A1148" s="2" t="s">
        <v>130</v>
      </c>
      <c r="B1148" s="2" t="s">
        <v>209</v>
      </c>
      <c r="C1148" s="2" t="s">
        <v>25</v>
      </c>
      <c r="D1148" s="2">
        <v>0.0</v>
      </c>
      <c r="E1148" s="2">
        <v>0.0</v>
      </c>
      <c r="F1148" s="2">
        <v>0.0</v>
      </c>
      <c r="G1148" s="2">
        <v>0.0</v>
      </c>
      <c r="H1148" s="2">
        <v>0.0</v>
      </c>
    </row>
    <row r="1149" ht="14.25" customHeight="1">
      <c r="A1149" s="2" t="s">
        <v>130</v>
      </c>
      <c r="B1149" s="2" t="s">
        <v>209</v>
      </c>
      <c r="C1149" s="2" t="s">
        <v>31</v>
      </c>
      <c r="D1149" s="2">
        <v>0.0</v>
      </c>
      <c r="E1149" s="2">
        <v>0.0</v>
      </c>
      <c r="F1149" s="2">
        <v>0.0</v>
      </c>
      <c r="G1149" s="2">
        <v>0.0</v>
      </c>
      <c r="H1149" s="2">
        <v>0.0</v>
      </c>
    </row>
    <row r="1150" ht="14.25" customHeight="1">
      <c r="A1150" s="2" t="s">
        <v>130</v>
      </c>
      <c r="B1150" s="2" t="s">
        <v>209</v>
      </c>
      <c r="C1150" s="2" t="s">
        <v>32</v>
      </c>
      <c r="D1150" s="2">
        <v>0.0</v>
      </c>
      <c r="E1150" s="2">
        <v>0.0</v>
      </c>
      <c r="F1150" s="2">
        <v>0.0</v>
      </c>
      <c r="G1150" s="2">
        <v>0.0</v>
      </c>
      <c r="H1150" s="2">
        <v>0.0</v>
      </c>
    </row>
    <row r="1151" ht="14.25" customHeight="1">
      <c r="A1151" s="2" t="s">
        <v>130</v>
      </c>
      <c r="B1151" s="2" t="s">
        <v>209</v>
      </c>
      <c r="C1151" s="2" t="s">
        <v>32</v>
      </c>
      <c r="D1151" s="2">
        <v>0.0</v>
      </c>
      <c r="E1151" s="2">
        <v>0.0</v>
      </c>
      <c r="F1151" s="2">
        <v>0.0</v>
      </c>
      <c r="G1151" s="2">
        <v>0.0</v>
      </c>
      <c r="H1151" s="2">
        <v>0.0</v>
      </c>
    </row>
    <row r="1152" ht="14.25" customHeight="1">
      <c r="A1152" s="2" t="s">
        <v>130</v>
      </c>
      <c r="B1152" s="2" t="s">
        <v>209</v>
      </c>
      <c r="C1152" s="2" t="s">
        <v>26</v>
      </c>
      <c r="D1152" s="2">
        <v>0.0</v>
      </c>
      <c r="E1152" s="2">
        <v>0.0</v>
      </c>
      <c r="F1152" s="2">
        <v>0.0</v>
      </c>
      <c r="G1152" s="2">
        <v>0.0</v>
      </c>
      <c r="H1152" s="2">
        <v>0.0</v>
      </c>
    </row>
    <row r="1153" ht="14.25" customHeight="1">
      <c r="A1153" s="2" t="s">
        <v>130</v>
      </c>
      <c r="B1153" s="2" t="s">
        <v>209</v>
      </c>
      <c r="C1153" s="2" t="s">
        <v>33</v>
      </c>
      <c r="D1153" s="2">
        <v>0.0</v>
      </c>
      <c r="E1153" s="2">
        <v>0.0</v>
      </c>
      <c r="F1153" s="2">
        <v>0.0</v>
      </c>
      <c r="G1153" s="2">
        <v>0.0</v>
      </c>
      <c r="H1153" s="2">
        <v>0.0</v>
      </c>
    </row>
    <row r="1154" ht="14.25" customHeight="1">
      <c r="A1154" s="2" t="s">
        <v>130</v>
      </c>
      <c r="B1154" s="2" t="s">
        <v>23</v>
      </c>
      <c r="C1154" s="2" t="s">
        <v>10</v>
      </c>
      <c r="D1154" s="2">
        <v>4682.841840995345</v>
      </c>
      <c r="E1154" s="2">
        <v>6.7866370777145</v>
      </c>
      <c r="F1154" s="2">
        <v>119410.4851727208</v>
      </c>
      <c r="G1154" s="2">
        <v>38.0453596433859</v>
      </c>
      <c r="H1154" s="2">
        <v>0.599500445532675</v>
      </c>
    </row>
    <row r="1155" ht="14.25" customHeight="1">
      <c r="A1155" s="2" t="s">
        <v>130</v>
      </c>
      <c r="B1155" s="2" t="s">
        <v>29</v>
      </c>
      <c r="C1155" s="2" t="s">
        <v>34</v>
      </c>
      <c r="D1155" s="2">
        <v>52.51225611</v>
      </c>
      <c r="E1155" s="2">
        <v>0.066700714</v>
      </c>
      <c r="F1155" s="2">
        <v>1351.806368</v>
      </c>
      <c r="G1155" s="2">
        <v>0.386597411</v>
      </c>
      <c r="H1155" s="2">
        <v>0.007119004</v>
      </c>
    </row>
    <row r="1156" ht="14.25" customHeight="1">
      <c r="A1156" s="2" t="s">
        <v>130</v>
      </c>
      <c r="B1156" s="2" t="s">
        <v>29</v>
      </c>
      <c r="C1156" s="2" t="s">
        <v>35</v>
      </c>
      <c r="D1156" s="2">
        <v>10.59463108</v>
      </c>
      <c r="E1156" s="2">
        <v>0.0362856384</v>
      </c>
      <c r="F1156" s="2">
        <v>215.11652646</v>
      </c>
      <c r="G1156" s="2">
        <v>0.139401889</v>
      </c>
      <c r="H1156" s="2">
        <v>2.69566E-4</v>
      </c>
    </row>
    <row r="1157" ht="14.25" customHeight="1">
      <c r="A1157" s="2" t="s">
        <v>130</v>
      </c>
      <c r="B1157" s="2" t="s">
        <v>29</v>
      </c>
      <c r="C1157" s="2" t="s">
        <v>35</v>
      </c>
      <c r="D1157" s="2">
        <v>4.33416726</v>
      </c>
      <c r="E1157" s="2">
        <v>0.0148441248</v>
      </c>
      <c r="F1157" s="2">
        <v>88.00221537</v>
      </c>
      <c r="G1157" s="2">
        <v>0.0570280455</v>
      </c>
      <c r="H1157" s="2">
        <v>1.10277E-4</v>
      </c>
    </row>
    <row r="1158" ht="14.25" customHeight="1">
      <c r="A1158" s="2" t="s">
        <v>130</v>
      </c>
      <c r="B1158" s="2" t="s">
        <v>29</v>
      </c>
      <c r="C1158" s="2" t="s">
        <v>35</v>
      </c>
      <c r="D1158" s="2">
        <v>2.36311733</v>
      </c>
      <c r="E1158" s="2">
        <v>0.0095503583</v>
      </c>
      <c r="F1158" s="2">
        <v>45.830999802</v>
      </c>
      <c r="G1158" s="2">
        <v>0.0291202044</v>
      </c>
      <c r="H1158" s="2">
        <v>5.72495E-5</v>
      </c>
    </row>
    <row r="1159" ht="14.25" customHeight="1">
      <c r="A1159" s="2" t="s">
        <v>130</v>
      </c>
      <c r="B1159" s="2" t="s">
        <v>29</v>
      </c>
      <c r="C1159" s="2" t="s">
        <v>36</v>
      </c>
      <c r="D1159" s="2">
        <v>0.1374100299</v>
      </c>
      <c r="E1159" s="2">
        <v>3.5426025E-5</v>
      </c>
      <c r="F1159" s="2">
        <v>2.193261751125</v>
      </c>
      <c r="G1159" s="2">
        <v>0.0034307517375</v>
      </c>
      <c r="H1159" s="2">
        <v>3.6804375E-5</v>
      </c>
    </row>
    <row r="1160" ht="14.25" customHeight="1">
      <c r="A1160" s="2" t="s">
        <v>130</v>
      </c>
      <c r="B1160" s="2" t="s">
        <v>210</v>
      </c>
      <c r="C1160" s="2" t="s">
        <v>34</v>
      </c>
      <c r="D1160" s="2">
        <v>0.0</v>
      </c>
      <c r="E1160" s="2">
        <v>0.0</v>
      </c>
      <c r="F1160" s="2">
        <v>0.0</v>
      </c>
      <c r="G1160" s="2">
        <v>0.0</v>
      </c>
      <c r="H1160" s="2">
        <v>0.0</v>
      </c>
    </row>
    <row r="1161" ht="14.25" customHeight="1">
      <c r="A1161" s="2" t="s">
        <v>130</v>
      </c>
      <c r="B1161" s="2" t="s">
        <v>210</v>
      </c>
      <c r="C1161" s="2" t="s">
        <v>35</v>
      </c>
      <c r="D1161" s="2">
        <v>0.0</v>
      </c>
      <c r="E1161" s="2">
        <v>0.0</v>
      </c>
      <c r="F1161" s="2">
        <v>0.0</v>
      </c>
      <c r="G1161" s="2">
        <v>0.0</v>
      </c>
      <c r="H1161" s="2">
        <v>0.0</v>
      </c>
    </row>
    <row r="1162" ht="14.25" customHeight="1">
      <c r="A1162" s="2" t="s">
        <v>130</v>
      </c>
      <c r="B1162" s="2" t="s">
        <v>210</v>
      </c>
      <c r="C1162" s="2" t="s">
        <v>35</v>
      </c>
      <c r="D1162" s="2">
        <v>0.0</v>
      </c>
      <c r="E1162" s="2">
        <v>0.0</v>
      </c>
      <c r="F1162" s="2">
        <v>0.0</v>
      </c>
      <c r="G1162" s="2">
        <v>0.0</v>
      </c>
      <c r="H1162" s="2">
        <v>0.0</v>
      </c>
    </row>
    <row r="1163" ht="14.25" customHeight="1">
      <c r="A1163" s="2" t="s">
        <v>130</v>
      </c>
      <c r="B1163" s="2" t="s">
        <v>210</v>
      </c>
      <c r="C1163" s="2" t="s">
        <v>35</v>
      </c>
      <c r="D1163" s="2">
        <v>0.0</v>
      </c>
      <c r="E1163" s="2">
        <v>0.0</v>
      </c>
      <c r="F1163" s="2">
        <v>0.0</v>
      </c>
      <c r="G1163" s="2">
        <v>0.0</v>
      </c>
      <c r="H1163" s="2">
        <v>0.0</v>
      </c>
    </row>
    <row r="1164" ht="14.25" customHeight="1">
      <c r="A1164" s="2" t="s">
        <v>130</v>
      </c>
      <c r="B1164" s="2" t="s">
        <v>210</v>
      </c>
      <c r="C1164" s="2" t="s">
        <v>36</v>
      </c>
      <c r="D1164" s="2">
        <v>0.0</v>
      </c>
      <c r="E1164" s="2">
        <v>0.0</v>
      </c>
      <c r="F1164" s="2">
        <v>0.0</v>
      </c>
      <c r="G1164" s="2">
        <v>0.0</v>
      </c>
      <c r="H1164" s="2">
        <v>0.0</v>
      </c>
    </row>
    <row r="1165" ht="14.25" customHeight="1">
      <c r="A1165" s="2" t="s">
        <v>130</v>
      </c>
      <c r="B1165" s="2" t="s">
        <v>29</v>
      </c>
      <c r="C1165" s="2" t="s">
        <v>10</v>
      </c>
      <c r="D1165" s="2">
        <v>69.9415818099</v>
      </c>
      <c r="E1165" s="2">
        <v>0.127416261525</v>
      </c>
      <c r="F1165" s="2">
        <v>1702.949371383125</v>
      </c>
      <c r="G1165" s="2">
        <v>0.6155783016375</v>
      </c>
      <c r="H1165" s="2">
        <v>0.007592900875</v>
      </c>
    </row>
    <row r="1166" ht="14.25" customHeight="1">
      <c r="A1166" s="2" t="s">
        <v>130</v>
      </c>
      <c r="B1166" s="2" t="s">
        <v>18</v>
      </c>
      <c r="C1166" s="2" t="s">
        <v>10</v>
      </c>
      <c r="D1166" s="2">
        <v>0.0</v>
      </c>
      <c r="E1166" s="2">
        <v>0.0</v>
      </c>
      <c r="F1166" s="2">
        <v>0.0</v>
      </c>
      <c r="G1166" s="2">
        <v>0.0</v>
      </c>
      <c r="H1166" s="2">
        <v>0.0</v>
      </c>
    </row>
    <row r="1167" ht="14.25" customHeight="1">
      <c r="A1167" s="2" t="s">
        <v>131</v>
      </c>
      <c r="B1167" s="2" t="s">
        <v>21</v>
      </c>
      <c r="C1167" s="2" t="s">
        <v>10</v>
      </c>
      <c r="D1167" s="2">
        <v>0.0</v>
      </c>
      <c r="E1167" s="2">
        <v>0.0</v>
      </c>
      <c r="F1167" s="2">
        <v>0.0</v>
      </c>
      <c r="G1167" s="2">
        <v>0.0</v>
      </c>
      <c r="H1167" s="2">
        <v>0.0</v>
      </c>
    </row>
    <row r="1168" ht="14.25" customHeight="1">
      <c r="A1168" s="2" t="s">
        <v>131</v>
      </c>
      <c r="B1168" s="2" t="s">
        <v>22</v>
      </c>
      <c r="C1168" s="2" t="s">
        <v>10</v>
      </c>
      <c r="D1168" s="2">
        <v>0.0</v>
      </c>
      <c r="E1168" s="2">
        <v>0.0</v>
      </c>
      <c r="F1168" s="2">
        <v>0.0</v>
      </c>
      <c r="G1168" s="2">
        <v>0.0</v>
      </c>
      <c r="H1168" s="2">
        <v>0.0</v>
      </c>
    </row>
    <row r="1169" ht="14.25" customHeight="1">
      <c r="A1169" s="2" t="s">
        <v>131</v>
      </c>
      <c r="B1169" s="2" t="s">
        <v>23</v>
      </c>
      <c r="C1169" s="2" t="s">
        <v>24</v>
      </c>
      <c r="D1169" s="2">
        <v>7.5423613848</v>
      </c>
      <c r="E1169" s="2">
        <v>0.065183477</v>
      </c>
      <c r="F1169" s="2">
        <v>114.4666448556</v>
      </c>
      <c r="G1169" s="2">
        <v>0.0601189994</v>
      </c>
      <c r="H1169" s="2">
        <v>2.069329963E-4</v>
      </c>
    </row>
    <row r="1170" ht="14.25" customHeight="1">
      <c r="A1170" s="2" t="s">
        <v>131</v>
      </c>
      <c r="B1170" s="2" t="s">
        <v>23</v>
      </c>
      <c r="C1170" s="2" t="s">
        <v>25</v>
      </c>
      <c r="D1170" s="2">
        <v>3.645918399</v>
      </c>
      <c r="E1170" s="2">
        <v>0.012460989</v>
      </c>
      <c r="F1170" s="2">
        <v>73.904125878</v>
      </c>
      <c r="G1170" s="2">
        <v>0.047588082</v>
      </c>
      <c r="H1170" s="2">
        <v>9.2117140875E-5</v>
      </c>
    </row>
    <row r="1171" ht="14.25" customHeight="1">
      <c r="A1171" s="2" t="s">
        <v>131</v>
      </c>
      <c r="B1171" s="2" t="s">
        <v>23</v>
      </c>
      <c r="C1171" s="2" t="s">
        <v>25</v>
      </c>
      <c r="D1171" s="2">
        <v>3.0145414792</v>
      </c>
      <c r="E1171" s="2">
        <v>0.00786376</v>
      </c>
      <c r="F1171" s="2">
        <v>55.4354824224</v>
      </c>
      <c r="G1171" s="2">
        <v>0.0461669931</v>
      </c>
      <c r="H1171" s="2">
        <v>7.46707127E-5</v>
      </c>
    </row>
    <row r="1172" ht="14.25" customHeight="1">
      <c r="A1172" s="2" t="s">
        <v>131</v>
      </c>
      <c r="B1172" s="2" t="s">
        <v>23</v>
      </c>
      <c r="C1172" s="2" t="s">
        <v>25</v>
      </c>
      <c r="D1172" s="2">
        <v>3.0145414792</v>
      </c>
      <c r="E1172" s="2">
        <v>0.00786376</v>
      </c>
      <c r="F1172" s="2">
        <v>55.4354824224</v>
      </c>
      <c r="G1172" s="2">
        <v>0.0461669931</v>
      </c>
      <c r="H1172" s="2">
        <v>7.46707127E-5</v>
      </c>
    </row>
    <row r="1173" ht="14.25" customHeight="1">
      <c r="A1173" s="2" t="s">
        <v>131</v>
      </c>
      <c r="B1173" s="2" t="s">
        <v>23</v>
      </c>
      <c r="C1173" s="2" t="s">
        <v>31</v>
      </c>
      <c r="D1173" s="2">
        <v>1.8290159292</v>
      </c>
      <c r="E1173" s="2">
        <v>0.00612228</v>
      </c>
      <c r="F1173" s="2">
        <v>38.1499386574</v>
      </c>
      <c r="G1173" s="2">
        <v>0.0224225366</v>
      </c>
      <c r="H1173" s="2">
        <v>6.68317127E-5</v>
      </c>
    </row>
    <row r="1174" ht="14.25" customHeight="1">
      <c r="A1174" s="2" t="s">
        <v>131</v>
      </c>
      <c r="B1174" s="2" t="s">
        <v>23</v>
      </c>
      <c r="C1174" s="2" t="s">
        <v>25</v>
      </c>
      <c r="D1174" s="2">
        <v>9.699707498</v>
      </c>
      <c r="E1174" s="2">
        <v>0.033168714</v>
      </c>
      <c r="F1174" s="2">
        <v>196.698371406</v>
      </c>
      <c r="G1174" s="2">
        <v>0.1268584115</v>
      </c>
      <c r="H1174" s="2">
        <v>2.4549928175E-4</v>
      </c>
    </row>
    <row r="1175" ht="14.25" customHeight="1">
      <c r="A1175" s="2" t="s">
        <v>131</v>
      </c>
      <c r="B1175" s="2" t="s">
        <v>23</v>
      </c>
      <c r="C1175" s="2" t="s">
        <v>32</v>
      </c>
      <c r="D1175" s="2">
        <v>0.0960805614672</v>
      </c>
      <c r="E1175" s="2">
        <v>3.02307828E-4</v>
      </c>
      <c r="F1175" s="2">
        <v>2.5322356838784</v>
      </c>
      <c r="G1175" s="2">
        <v>0.0016235193276</v>
      </c>
      <c r="H1175" s="2">
        <v>7.8470570382E-6</v>
      </c>
    </row>
    <row r="1176" ht="14.25" customHeight="1">
      <c r="A1176" s="2" t="s">
        <v>131</v>
      </c>
      <c r="B1176" s="2" t="s">
        <v>23</v>
      </c>
      <c r="C1176" s="2" t="s">
        <v>26</v>
      </c>
      <c r="D1176" s="2">
        <v>2.90246627741053</v>
      </c>
      <c r="E1176" s="2">
        <v>0.0082533761267</v>
      </c>
      <c r="F1176" s="2">
        <v>60.73603640137566</v>
      </c>
      <c r="G1176" s="2">
        <v>0.043088783659865</v>
      </c>
      <c r="H1176" s="2">
        <v>2.024499530119925E-4</v>
      </c>
    </row>
    <row r="1177" ht="14.25" customHeight="1">
      <c r="A1177" s="2" t="s">
        <v>131</v>
      </c>
      <c r="B1177" s="2" t="s">
        <v>23</v>
      </c>
      <c r="C1177" s="2" t="s">
        <v>33</v>
      </c>
      <c r="D1177" s="2">
        <v>14.58961317191</v>
      </c>
      <c r="E1177" s="2">
        <v>0.18728765202</v>
      </c>
      <c r="F1177" s="2">
        <v>2149.3415236426</v>
      </c>
      <c r="G1177" s="2">
        <v>0.58471963228</v>
      </c>
      <c r="H1177" s="2">
        <v>0.002116461606</v>
      </c>
    </row>
    <row r="1178" ht="14.25" customHeight="1">
      <c r="A1178" s="2" t="s">
        <v>131</v>
      </c>
      <c r="B1178" s="2" t="s">
        <v>23</v>
      </c>
      <c r="C1178" s="2" t="s">
        <v>33</v>
      </c>
      <c r="D1178" s="2">
        <v>6.82465560011</v>
      </c>
      <c r="E1178" s="2">
        <v>0.08760847242</v>
      </c>
      <c r="F1178" s="2">
        <v>1005.4081278946</v>
      </c>
      <c r="G1178" s="2">
        <v>0.27351719788</v>
      </c>
      <c r="H1178" s="2">
        <v>9.90027726E-4</v>
      </c>
    </row>
    <row r="1179" ht="14.25" customHeight="1">
      <c r="A1179" s="2" t="s">
        <v>131</v>
      </c>
      <c r="B1179" s="2" t="s">
        <v>23</v>
      </c>
      <c r="C1179" s="2" t="s">
        <v>27</v>
      </c>
      <c r="D1179" s="2">
        <v>48.972430342584</v>
      </c>
      <c r="E1179" s="2">
        <v>0.64558208736</v>
      </c>
      <c r="F1179" s="2">
        <v>1279.960863627348</v>
      </c>
      <c r="G1179" s="2">
        <v>6.41406216093426</v>
      </c>
      <c r="H1179" s="2">
        <v>0.5733176206335165</v>
      </c>
    </row>
    <row r="1180" ht="14.25" customHeight="1">
      <c r="A1180" s="2" t="s">
        <v>131</v>
      </c>
      <c r="B1180" s="2" t="s">
        <v>23</v>
      </c>
      <c r="C1180" s="2" t="s">
        <v>28</v>
      </c>
      <c r="D1180" s="2">
        <v>3.464662761</v>
      </c>
      <c r="E1180" s="2">
        <v>0.04207844745</v>
      </c>
      <c r="F1180" s="2">
        <v>494.5444461825</v>
      </c>
      <c r="G1180" s="2">
        <v>0.134520310875</v>
      </c>
      <c r="H1180" s="2">
        <v>4.746523845E-4</v>
      </c>
    </row>
    <row r="1181" ht="14.25" customHeight="1">
      <c r="A1181" s="2" t="s">
        <v>131</v>
      </c>
      <c r="B1181" s="2" t="s">
        <v>209</v>
      </c>
      <c r="C1181" s="2" t="s">
        <v>24</v>
      </c>
      <c r="D1181" s="2">
        <v>0.0</v>
      </c>
      <c r="E1181" s="2">
        <v>0.0</v>
      </c>
      <c r="F1181" s="2">
        <v>0.0</v>
      </c>
      <c r="G1181" s="2">
        <v>0.0</v>
      </c>
      <c r="H1181" s="2">
        <v>0.0</v>
      </c>
    </row>
    <row r="1182" ht="14.25" customHeight="1">
      <c r="A1182" s="2" t="s">
        <v>131</v>
      </c>
      <c r="B1182" s="2" t="s">
        <v>209</v>
      </c>
      <c r="C1182" s="2" t="s">
        <v>25</v>
      </c>
      <c r="D1182" s="2">
        <v>0.0</v>
      </c>
      <c r="E1182" s="2">
        <v>0.0</v>
      </c>
      <c r="F1182" s="2">
        <v>0.0</v>
      </c>
      <c r="G1182" s="2">
        <v>0.0</v>
      </c>
      <c r="H1182" s="2">
        <v>0.0</v>
      </c>
    </row>
    <row r="1183" ht="14.25" customHeight="1">
      <c r="A1183" s="2" t="s">
        <v>131</v>
      </c>
      <c r="B1183" s="2" t="s">
        <v>209</v>
      </c>
      <c r="C1183" s="2" t="s">
        <v>25</v>
      </c>
      <c r="D1183" s="2">
        <v>0.0</v>
      </c>
      <c r="E1183" s="2">
        <v>0.0</v>
      </c>
      <c r="F1183" s="2">
        <v>0.0</v>
      </c>
      <c r="G1183" s="2">
        <v>0.0</v>
      </c>
      <c r="H1183" s="2">
        <v>0.0</v>
      </c>
    </row>
    <row r="1184" ht="14.25" customHeight="1">
      <c r="A1184" s="2" t="s">
        <v>131</v>
      </c>
      <c r="B1184" s="2" t="s">
        <v>209</v>
      </c>
      <c r="C1184" s="2" t="s">
        <v>25</v>
      </c>
      <c r="D1184" s="2">
        <v>0.0</v>
      </c>
      <c r="E1184" s="2">
        <v>0.0</v>
      </c>
      <c r="F1184" s="2">
        <v>0.0</v>
      </c>
      <c r="G1184" s="2">
        <v>0.0</v>
      </c>
      <c r="H1184" s="2">
        <v>0.0</v>
      </c>
    </row>
    <row r="1185" ht="14.25" customHeight="1">
      <c r="A1185" s="2" t="s">
        <v>131</v>
      </c>
      <c r="B1185" s="2" t="s">
        <v>209</v>
      </c>
      <c r="C1185" s="2" t="s">
        <v>31</v>
      </c>
      <c r="D1185" s="2">
        <v>0.0</v>
      </c>
      <c r="E1185" s="2">
        <v>0.0</v>
      </c>
      <c r="F1185" s="2">
        <v>0.0</v>
      </c>
      <c r="G1185" s="2">
        <v>0.0</v>
      </c>
      <c r="H1185" s="2">
        <v>0.0</v>
      </c>
    </row>
    <row r="1186" ht="14.25" customHeight="1">
      <c r="A1186" s="2" t="s">
        <v>131</v>
      </c>
      <c r="B1186" s="2" t="s">
        <v>209</v>
      </c>
      <c r="C1186" s="2" t="s">
        <v>25</v>
      </c>
      <c r="D1186" s="2">
        <v>0.0</v>
      </c>
      <c r="E1186" s="2">
        <v>0.0</v>
      </c>
      <c r="F1186" s="2">
        <v>0.0</v>
      </c>
      <c r="G1186" s="2">
        <v>0.0</v>
      </c>
      <c r="H1186" s="2">
        <v>0.0</v>
      </c>
    </row>
    <row r="1187" ht="14.25" customHeight="1">
      <c r="A1187" s="2" t="s">
        <v>131</v>
      </c>
      <c r="B1187" s="2" t="s">
        <v>209</v>
      </c>
      <c r="C1187" s="2" t="s">
        <v>32</v>
      </c>
      <c r="D1187" s="2">
        <v>0.0</v>
      </c>
      <c r="E1187" s="2">
        <v>0.0</v>
      </c>
      <c r="F1187" s="2">
        <v>0.0</v>
      </c>
      <c r="G1187" s="2">
        <v>0.0</v>
      </c>
      <c r="H1187" s="2">
        <v>0.0</v>
      </c>
    </row>
    <row r="1188" ht="14.25" customHeight="1">
      <c r="A1188" s="2" t="s">
        <v>131</v>
      </c>
      <c r="B1188" s="2" t="s">
        <v>209</v>
      </c>
      <c r="C1188" s="2" t="s">
        <v>26</v>
      </c>
      <c r="D1188" s="2">
        <v>0.0</v>
      </c>
      <c r="E1188" s="2">
        <v>0.0</v>
      </c>
      <c r="F1188" s="2">
        <v>0.0</v>
      </c>
      <c r="G1188" s="2">
        <v>0.0</v>
      </c>
      <c r="H1188" s="2">
        <v>0.0</v>
      </c>
    </row>
    <row r="1189" ht="14.25" customHeight="1">
      <c r="A1189" s="2" t="s">
        <v>131</v>
      </c>
      <c r="B1189" s="2" t="s">
        <v>209</v>
      </c>
      <c r="C1189" s="2" t="s">
        <v>33</v>
      </c>
      <c r="D1189" s="2">
        <v>0.0</v>
      </c>
      <c r="E1189" s="2">
        <v>0.0</v>
      </c>
      <c r="F1189" s="2">
        <v>0.0</v>
      </c>
      <c r="G1189" s="2">
        <v>0.0</v>
      </c>
      <c r="H1189" s="2">
        <v>0.0</v>
      </c>
    </row>
    <row r="1190" ht="14.25" customHeight="1">
      <c r="A1190" s="2" t="s">
        <v>131</v>
      </c>
      <c r="B1190" s="2" t="s">
        <v>209</v>
      </c>
      <c r="C1190" s="2" t="s">
        <v>33</v>
      </c>
      <c r="D1190" s="2">
        <v>0.0</v>
      </c>
      <c r="E1190" s="2">
        <v>0.0</v>
      </c>
      <c r="F1190" s="2">
        <v>0.0</v>
      </c>
      <c r="G1190" s="2">
        <v>0.0</v>
      </c>
      <c r="H1190" s="2">
        <v>0.0</v>
      </c>
    </row>
    <row r="1191" ht="14.25" customHeight="1">
      <c r="A1191" s="2" t="s">
        <v>131</v>
      </c>
      <c r="B1191" s="2" t="s">
        <v>209</v>
      </c>
      <c r="C1191" s="2" t="s">
        <v>27</v>
      </c>
      <c r="D1191" s="2">
        <v>0.0</v>
      </c>
      <c r="E1191" s="2">
        <v>0.0</v>
      </c>
      <c r="F1191" s="2">
        <v>0.0</v>
      </c>
      <c r="G1191" s="2">
        <v>0.0</v>
      </c>
      <c r="H1191" s="2">
        <v>0.0</v>
      </c>
    </row>
    <row r="1192" ht="14.25" customHeight="1">
      <c r="A1192" s="2" t="s">
        <v>131</v>
      </c>
      <c r="B1192" s="2" t="s">
        <v>209</v>
      </c>
      <c r="C1192" s="2" t="s">
        <v>28</v>
      </c>
      <c r="D1192" s="2">
        <v>0.0</v>
      </c>
      <c r="E1192" s="2">
        <v>0.0</v>
      </c>
      <c r="F1192" s="2">
        <v>0.0</v>
      </c>
      <c r="G1192" s="2">
        <v>0.0</v>
      </c>
      <c r="H1192" s="2">
        <v>0.0</v>
      </c>
    </row>
    <row r="1193" ht="14.25" customHeight="1">
      <c r="A1193" s="2" t="s">
        <v>131</v>
      </c>
      <c r="B1193" s="2" t="s">
        <v>23</v>
      </c>
      <c r="C1193" s="2" t="s">
        <v>10</v>
      </c>
      <c r="D1193" s="2">
        <v>105.5959948838817</v>
      </c>
      <c r="E1193" s="2">
        <v>1.1037753232047</v>
      </c>
      <c r="F1193" s="2">
        <v>5526.613279074102</v>
      </c>
      <c r="G1193" s="2">
        <v>7.800853620656725</v>
      </c>
      <c r="H1193" s="2">
        <v>0.5778697819170917</v>
      </c>
    </row>
    <row r="1194" ht="14.25" customHeight="1">
      <c r="A1194" s="2" t="s">
        <v>131</v>
      </c>
      <c r="B1194" s="2" t="s">
        <v>29</v>
      </c>
      <c r="C1194" s="2" t="s">
        <v>34</v>
      </c>
      <c r="D1194" s="2">
        <v>0.0</v>
      </c>
      <c r="E1194" s="2">
        <v>0.0</v>
      </c>
      <c r="F1194" s="2">
        <v>0.0</v>
      </c>
      <c r="G1194" s="2">
        <v>0.0</v>
      </c>
      <c r="H1194" s="2">
        <v>0.0</v>
      </c>
    </row>
    <row r="1195" ht="14.25" customHeight="1">
      <c r="A1195" s="2" t="s">
        <v>131</v>
      </c>
      <c r="B1195" s="2" t="s">
        <v>29</v>
      </c>
      <c r="C1195" s="2" t="s">
        <v>35</v>
      </c>
      <c r="D1195" s="2">
        <v>0.0</v>
      </c>
      <c r="E1195" s="2">
        <v>0.0</v>
      </c>
      <c r="F1195" s="2">
        <v>0.0</v>
      </c>
      <c r="G1195" s="2">
        <v>0.0</v>
      </c>
      <c r="H1195" s="2">
        <v>0.0</v>
      </c>
    </row>
    <row r="1196" ht="14.25" customHeight="1">
      <c r="A1196" s="2" t="s">
        <v>131</v>
      </c>
      <c r="B1196" s="2" t="s">
        <v>29</v>
      </c>
      <c r="C1196" s="2" t="s">
        <v>36</v>
      </c>
      <c r="D1196" s="2">
        <v>0.0281574304902</v>
      </c>
      <c r="E1196" s="2">
        <v>8.884728E-6</v>
      </c>
      <c r="F1196" s="2">
        <v>0.4499174890044</v>
      </c>
      <c r="G1196" s="2">
        <v>6.8743162035E-4</v>
      </c>
      <c r="H1196" s="2">
        <v>7.365223889325E-6</v>
      </c>
    </row>
    <row r="1197" ht="14.25" customHeight="1">
      <c r="A1197" s="2" t="s">
        <v>131</v>
      </c>
      <c r="B1197" s="2" t="s">
        <v>29</v>
      </c>
      <c r="C1197" s="2" t="s">
        <v>132</v>
      </c>
      <c r="D1197" s="2">
        <v>18.12033095064</v>
      </c>
      <c r="E1197" s="2">
        <v>0.0440393460456</v>
      </c>
      <c r="F1197" s="2">
        <v>481.37677950228</v>
      </c>
      <c r="G1197" s="2">
        <v>0.352765289838</v>
      </c>
      <c r="H1197" s="2">
        <v>0.001335690412296</v>
      </c>
    </row>
    <row r="1198" ht="14.25" customHeight="1">
      <c r="A1198" s="2" t="s">
        <v>131</v>
      </c>
      <c r="B1198" s="2" t="s">
        <v>210</v>
      </c>
      <c r="C1198" s="2" t="s">
        <v>34</v>
      </c>
      <c r="D1198" s="2">
        <v>0.0</v>
      </c>
      <c r="E1198" s="2">
        <v>0.0</v>
      </c>
      <c r="F1198" s="2">
        <v>0.0</v>
      </c>
      <c r="G1198" s="2">
        <v>0.0</v>
      </c>
      <c r="H1198" s="2">
        <v>0.0</v>
      </c>
    </row>
    <row r="1199" ht="14.25" customHeight="1">
      <c r="A1199" s="2" t="s">
        <v>131</v>
      </c>
      <c r="B1199" s="2" t="s">
        <v>210</v>
      </c>
      <c r="C1199" s="2" t="s">
        <v>35</v>
      </c>
      <c r="D1199" s="2">
        <v>0.0</v>
      </c>
      <c r="E1199" s="2">
        <v>0.0</v>
      </c>
      <c r="F1199" s="2">
        <v>0.0</v>
      </c>
      <c r="G1199" s="2">
        <v>0.0</v>
      </c>
      <c r="H1199" s="2">
        <v>0.0</v>
      </c>
    </row>
    <row r="1200" ht="14.25" customHeight="1">
      <c r="A1200" s="2" t="s">
        <v>131</v>
      </c>
      <c r="B1200" s="2" t="s">
        <v>210</v>
      </c>
      <c r="C1200" s="2" t="s">
        <v>36</v>
      </c>
      <c r="D1200" s="2">
        <v>0.0</v>
      </c>
      <c r="E1200" s="2">
        <v>0.0</v>
      </c>
      <c r="F1200" s="2">
        <v>0.0</v>
      </c>
      <c r="G1200" s="2">
        <v>0.0</v>
      </c>
      <c r="H1200" s="2">
        <v>0.0</v>
      </c>
    </row>
    <row r="1201" ht="14.25" customHeight="1">
      <c r="A1201" s="2" t="s">
        <v>131</v>
      </c>
      <c r="B1201" s="2" t="s">
        <v>210</v>
      </c>
      <c r="C1201" s="2" t="s">
        <v>132</v>
      </c>
      <c r="D1201" s="2">
        <v>0.0</v>
      </c>
      <c r="E1201" s="2">
        <v>0.0</v>
      </c>
      <c r="F1201" s="2">
        <v>0.0</v>
      </c>
      <c r="G1201" s="2">
        <v>0.0</v>
      </c>
      <c r="H1201" s="2">
        <v>0.0</v>
      </c>
    </row>
    <row r="1202" ht="14.25" customHeight="1">
      <c r="A1202" s="2" t="s">
        <v>131</v>
      </c>
      <c r="B1202" s="2" t="s">
        <v>29</v>
      </c>
      <c r="C1202" s="2" t="s">
        <v>10</v>
      </c>
      <c r="D1202" s="2">
        <v>18.1484883811302</v>
      </c>
      <c r="E1202" s="2">
        <v>0.0440482307736</v>
      </c>
      <c r="F1202" s="2">
        <v>481.8266969912844</v>
      </c>
      <c r="G1202" s="2">
        <v>0.35345272145835</v>
      </c>
      <c r="H1202" s="2">
        <v>0.001343055636185325</v>
      </c>
    </row>
    <row r="1203" ht="14.25" customHeight="1">
      <c r="A1203" s="2" t="s">
        <v>131</v>
      </c>
      <c r="B1203" s="2" t="s">
        <v>18</v>
      </c>
      <c r="C1203" s="2" t="s">
        <v>10</v>
      </c>
      <c r="D1203" s="2">
        <v>0.0</v>
      </c>
      <c r="E1203" s="2">
        <v>0.0</v>
      </c>
      <c r="F1203" s="2">
        <v>0.0</v>
      </c>
      <c r="G1203" s="2">
        <v>0.0</v>
      </c>
      <c r="H1203" s="2">
        <v>0.0</v>
      </c>
    </row>
    <row r="1204" ht="14.25" customHeight="1">
      <c r="A1204" s="2" t="s">
        <v>133</v>
      </c>
      <c r="B1204" s="2" t="s">
        <v>80</v>
      </c>
      <c r="C1204" s="2" t="s">
        <v>81</v>
      </c>
      <c r="D1204" s="2">
        <v>66.716467272</v>
      </c>
      <c r="E1204" s="2">
        <v>0.0412921236</v>
      </c>
      <c r="F1204" s="2">
        <v>1064.780958696</v>
      </c>
      <c r="G1204" s="2">
        <v>1.5323460152</v>
      </c>
      <c r="H1204" s="2">
        <v>0.01373312304</v>
      </c>
    </row>
    <row r="1205" ht="14.25" customHeight="1">
      <c r="A1205" s="2" t="s">
        <v>133</v>
      </c>
      <c r="B1205" s="2" t="s">
        <v>80</v>
      </c>
      <c r="C1205" s="2" t="s">
        <v>81</v>
      </c>
      <c r="D1205" s="2">
        <v>256.749463192011</v>
      </c>
      <c r="E1205" s="2">
        <v>10.54681160464391</v>
      </c>
      <c r="F1205" s="2">
        <v>4747.644559707999</v>
      </c>
      <c r="G1205" s="2">
        <v>2.138366425661654</v>
      </c>
      <c r="H1205" s="2">
        <v>0.00949745564440118</v>
      </c>
    </row>
    <row r="1206" ht="14.25" customHeight="1">
      <c r="A1206" s="2" t="s">
        <v>133</v>
      </c>
      <c r="B1206" s="2" t="s">
        <v>80</v>
      </c>
      <c r="C1206" s="2" t="s">
        <v>81</v>
      </c>
      <c r="D1206" s="2">
        <v>7.1212059072</v>
      </c>
      <c r="E1206" s="2">
        <v>0.0353217899672</v>
      </c>
      <c r="F1206" s="2">
        <v>179.9765870630706</v>
      </c>
      <c r="G1206" s="2">
        <v>0.0909279822968</v>
      </c>
      <c r="H1206" s="2">
        <v>2.611093439680001E-4</v>
      </c>
    </row>
    <row r="1207" ht="14.25" customHeight="1">
      <c r="A1207" s="2" t="s">
        <v>133</v>
      </c>
      <c r="B1207" s="2" t="s">
        <v>80</v>
      </c>
      <c r="C1207" s="2" t="s">
        <v>16</v>
      </c>
      <c r="D1207" s="2">
        <v>32.85073225602</v>
      </c>
      <c r="E1207" s="2">
        <v>0.430835122242</v>
      </c>
      <c r="F1207" s="2">
        <v>855.47828813076</v>
      </c>
      <c r="G1207" s="2">
        <v>4.27597133258484</v>
      </c>
      <c r="H1207" s="2">
        <v>0.382212137988828</v>
      </c>
    </row>
    <row r="1208" ht="14.25" customHeight="1">
      <c r="A1208" s="2" t="s">
        <v>133</v>
      </c>
      <c r="B1208" s="2" t="s">
        <v>80</v>
      </c>
      <c r="C1208" s="2" t="s">
        <v>17</v>
      </c>
      <c r="D1208" s="2">
        <v>10.35431739</v>
      </c>
      <c r="E1208" s="2">
        <v>0.0251651463</v>
      </c>
      <c r="F1208" s="2">
        <v>275.061342655</v>
      </c>
      <c r="G1208" s="2">
        <v>0.20157715925</v>
      </c>
      <c r="H1208" s="2">
        <v>7.63250123E-4</v>
      </c>
    </row>
    <row r="1209" ht="14.25" customHeight="1">
      <c r="A1209" s="2" t="s">
        <v>133</v>
      </c>
      <c r="B1209" s="2" t="s">
        <v>217</v>
      </c>
      <c r="C1209" s="2" t="s">
        <v>81</v>
      </c>
      <c r="D1209" s="2">
        <v>0.0</v>
      </c>
      <c r="E1209" s="2">
        <v>0.0</v>
      </c>
      <c r="F1209" s="2">
        <v>0.0</v>
      </c>
      <c r="G1209" s="2">
        <v>0.0</v>
      </c>
      <c r="H1209" s="2">
        <v>0.0</v>
      </c>
    </row>
    <row r="1210" ht="14.25" customHeight="1">
      <c r="A1210" s="2" t="s">
        <v>133</v>
      </c>
      <c r="B1210" s="2" t="s">
        <v>217</v>
      </c>
      <c r="C1210" s="2" t="s">
        <v>81</v>
      </c>
      <c r="D1210" s="2">
        <v>0.0</v>
      </c>
      <c r="E1210" s="2">
        <v>0.0</v>
      </c>
      <c r="F1210" s="2">
        <v>0.0</v>
      </c>
      <c r="G1210" s="2">
        <v>0.0</v>
      </c>
      <c r="H1210" s="2">
        <v>0.0</v>
      </c>
    </row>
    <row r="1211" ht="14.25" customHeight="1">
      <c r="A1211" s="2" t="s">
        <v>133</v>
      </c>
      <c r="B1211" s="2" t="s">
        <v>217</v>
      </c>
      <c r="C1211" s="2" t="s">
        <v>81</v>
      </c>
      <c r="D1211" s="2">
        <v>0.0</v>
      </c>
      <c r="E1211" s="2">
        <v>0.0</v>
      </c>
      <c r="F1211" s="2">
        <v>0.0</v>
      </c>
      <c r="G1211" s="2">
        <v>0.0</v>
      </c>
      <c r="H1211" s="2">
        <v>0.0</v>
      </c>
    </row>
    <row r="1212" ht="14.25" customHeight="1">
      <c r="A1212" s="2" t="s">
        <v>133</v>
      </c>
      <c r="B1212" s="2" t="s">
        <v>217</v>
      </c>
      <c r="C1212" s="2" t="s">
        <v>16</v>
      </c>
      <c r="D1212" s="2">
        <v>0.0</v>
      </c>
      <c r="E1212" s="2">
        <v>0.0</v>
      </c>
      <c r="F1212" s="2">
        <v>0.0</v>
      </c>
      <c r="G1212" s="2">
        <v>0.0</v>
      </c>
      <c r="H1212" s="2">
        <v>0.0</v>
      </c>
    </row>
    <row r="1213" ht="14.25" customHeight="1">
      <c r="A1213" s="2" t="s">
        <v>133</v>
      </c>
      <c r="B1213" s="2" t="s">
        <v>217</v>
      </c>
      <c r="C1213" s="2" t="s">
        <v>17</v>
      </c>
      <c r="D1213" s="2">
        <v>0.0</v>
      </c>
      <c r="E1213" s="2">
        <v>0.0</v>
      </c>
      <c r="F1213" s="2">
        <v>0.0</v>
      </c>
      <c r="G1213" s="2">
        <v>0.0</v>
      </c>
      <c r="H1213" s="2">
        <v>0.0</v>
      </c>
    </row>
    <row r="1214" ht="14.25" customHeight="1">
      <c r="A1214" s="2" t="s">
        <v>133</v>
      </c>
      <c r="B1214" s="2" t="s">
        <v>80</v>
      </c>
      <c r="C1214" s="2" t="s">
        <v>10</v>
      </c>
      <c r="D1214" s="2">
        <v>373.792186017231</v>
      </c>
      <c r="E1214" s="2">
        <v>11.07942578675311</v>
      </c>
      <c r="F1214" s="2">
        <v>7122.941736252829</v>
      </c>
      <c r="G1214" s="2">
        <v>8.239188914993294</v>
      </c>
      <c r="H1214" s="2">
        <v>0.4064670761401972</v>
      </c>
    </row>
    <row r="1215" ht="14.25" customHeight="1">
      <c r="A1215" s="2" t="s">
        <v>133</v>
      </c>
      <c r="B1215" s="2" t="s">
        <v>18</v>
      </c>
      <c r="C1215" s="2" t="s">
        <v>82</v>
      </c>
      <c r="D1215" s="2">
        <v>0.0</v>
      </c>
      <c r="E1215" s="2">
        <v>0.0</v>
      </c>
      <c r="F1215" s="2">
        <v>0.0</v>
      </c>
      <c r="G1215" s="2">
        <v>0.0</v>
      </c>
      <c r="H1215" s="2">
        <v>0.0</v>
      </c>
    </row>
    <row r="1216" ht="14.25" customHeight="1">
      <c r="A1216" s="2" t="s">
        <v>133</v>
      </c>
      <c r="B1216" s="2" t="s">
        <v>218</v>
      </c>
      <c r="C1216" s="2" t="s">
        <v>82</v>
      </c>
      <c r="D1216" s="2">
        <v>0.0</v>
      </c>
      <c r="E1216" s="2">
        <v>0.0</v>
      </c>
      <c r="F1216" s="2">
        <v>0.0</v>
      </c>
      <c r="G1216" s="2">
        <v>0.0</v>
      </c>
      <c r="H1216" s="2">
        <v>0.0</v>
      </c>
    </row>
    <row r="1217" ht="14.25" customHeight="1">
      <c r="A1217" s="2" t="s">
        <v>133</v>
      </c>
      <c r="B1217" s="2" t="s">
        <v>18</v>
      </c>
      <c r="C1217" s="2" t="s">
        <v>10</v>
      </c>
      <c r="D1217" s="2">
        <v>0.0</v>
      </c>
      <c r="E1217" s="2">
        <v>0.0</v>
      </c>
      <c r="F1217" s="2">
        <v>0.0</v>
      </c>
      <c r="G1217" s="2">
        <v>0.0</v>
      </c>
      <c r="H1217" s="2">
        <v>0.0</v>
      </c>
    </row>
    <row r="1218" ht="14.25" customHeight="1">
      <c r="A1218" s="2" t="s">
        <v>134</v>
      </c>
      <c r="B1218" s="2" t="s">
        <v>23</v>
      </c>
      <c r="C1218" s="2" t="s">
        <v>24</v>
      </c>
      <c r="D1218" s="2">
        <v>1158.5717098032</v>
      </c>
      <c r="E1218" s="2">
        <v>1.476213376</v>
      </c>
      <c r="F1218" s="2">
        <v>29794.8141078104</v>
      </c>
      <c r="G1218" s="2">
        <v>8.5114070426</v>
      </c>
      <c r="H1218" s="2">
        <v>0.1566393492367</v>
      </c>
    </row>
    <row r="1219" ht="14.25" customHeight="1">
      <c r="A1219" s="2" t="s">
        <v>134</v>
      </c>
      <c r="B1219" s="2" t="s">
        <v>23</v>
      </c>
      <c r="C1219" s="2" t="s">
        <v>25</v>
      </c>
      <c r="D1219" s="2">
        <v>39.7266858848</v>
      </c>
      <c r="E1219" s="2">
        <v>0.135146928</v>
      </c>
      <c r="F1219" s="2">
        <v>802.2688277856</v>
      </c>
      <c r="G1219" s="2">
        <v>0.5091937784</v>
      </c>
      <c r="H1219" s="2">
        <v>9.879713588E-4</v>
      </c>
    </row>
    <row r="1220" ht="14.25" customHeight="1">
      <c r="A1220" s="2" t="s">
        <v>134</v>
      </c>
      <c r="B1220" s="2" t="s">
        <v>23</v>
      </c>
      <c r="C1220" s="2" t="s">
        <v>25</v>
      </c>
      <c r="D1220" s="2">
        <v>4.0785063137</v>
      </c>
      <c r="E1220" s="2">
        <v>0.011774044617</v>
      </c>
      <c r="F1220" s="2">
        <v>99.8397662097277</v>
      </c>
      <c r="G1220" s="2">
        <v>0.050723388021</v>
      </c>
      <c r="H1220" s="2">
        <v>9.611094802E-5</v>
      </c>
    </row>
    <row r="1221" ht="14.25" customHeight="1">
      <c r="A1221" s="2" t="s">
        <v>134</v>
      </c>
      <c r="B1221" s="2" t="s">
        <v>23</v>
      </c>
      <c r="C1221" s="2" t="s">
        <v>25</v>
      </c>
      <c r="D1221" s="2">
        <v>9.87163373696</v>
      </c>
      <c r="E1221" s="2">
        <v>0.0336267744</v>
      </c>
      <c r="F1221" s="2">
        <v>199.56586127712</v>
      </c>
      <c r="G1221" s="2">
        <v>0.12718455368</v>
      </c>
      <c r="H1221" s="2">
        <v>2.4660627176E-4</v>
      </c>
    </row>
    <row r="1222" ht="14.25" customHeight="1">
      <c r="A1222" s="2" t="s">
        <v>134</v>
      </c>
      <c r="B1222" s="2" t="s">
        <v>23</v>
      </c>
      <c r="C1222" s="2" t="s">
        <v>25</v>
      </c>
      <c r="D1222" s="2">
        <v>24.6790843424</v>
      </c>
      <c r="E1222" s="2">
        <v>0.084066936</v>
      </c>
      <c r="F1222" s="2">
        <v>498.9146531928</v>
      </c>
      <c r="G1222" s="2">
        <v>0.3179613842</v>
      </c>
      <c r="H1222" s="2">
        <v>6.165156794E-4</v>
      </c>
    </row>
    <row r="1223" ht="14.25" customHeight="1">
      <c r="A1223" s="2" t="s">
        <v>134</v>
      </c>
      <c r="B1223" s="2" t="s">
        <v>23</v>
      </c>
      <c r="C1223" s="2" t="s">
        <v>25</v>
      </c>
      <c r="D1223" s="2">
        <v>5.231928505872</v>
      </c>
      <c r="E1223" s="2">
        <v>0.02091293478</v>
      </c>
      <c r="F1223" s="2">
        <v>101.013053163984</v>
      </c>
      <c r="G1223" s="2">
        <v>0.062719332576</v>
      </c>
      <c r="H1223" s="2">
        <v>1.23759890232E-4</v>
      </c>
    </row>
    <row r="1224" ht="14.25" customHeight="1">
      <c r="A1224" s="2" t="s">
        <v>134</v>
      </c>
      <c r="B1224" s="2" t="s">
        <v>23</v>
      </c>
      <c r="C1224" s="2" t="s">
        <v>32</v>
      </c>
      <c r="D1224" s="2">
        <v>4.0068757512</v>
      </c>
      <c r="E1224" s="2">
        <v>0.01264413675</v>
      </c>
      <c r="F1224" s="2">
        <v>106.3433008365</v>
      </c>
      <c r="G1224" s="2">
        <v>0.0688543605</v>
      </c>
      <c r="H1224" s="2">
        <v>3.3300705E-4</v>
      </c>
    </row>
    <row r="1225" ht="14.25" customHeight="1">
      <c r="A1225" s="2" t="s">
        <v>134</v>
      </c>
      <c r="B1225" s="2" t="s">
        <v>23</v>
      </c>
      <c r="C1225" s="2" t="s">
        <v>32</v>
      </c>
      <c r="D1225" s="2">
        <v>29.763083886375</v>
      </c>
      <c r="E1225" s="2">
        <v>0.100107677625</v>
      </c>
      <c r="F1225" s="2">
        <v>817.08864167625</v>
      </c>
      <c r="G1225" s="2">
        <v>0.607571168625</v>
      </c>
      <c r="H1225" s="2">
        <v>0.00282524775</v>
      </c>
    </row>
    <row r="1226" ht="14.25" customHeight="1">
      <c r="A1226" s="2" t="s">
        <v>134</v>
      </c>
      <c r="B1226" s="2" t="s">
        <v>23</v>
      </c>
      <c r="C1226" s="2" t="s">
        <v>26</v>
      </c>
      <c r="D1226" s="2">
        <v>167.6025313644</v>
      </c>
      <c r="E1226" s="2">
        <v>0.416957300325</v>
      </c>
      <c r="F1226" s="2">
        <v>3983.9736936435</v>
      </c>
      <c r="G1226" s="2">
        <v>2.88163661475</v>
      </c>
      <c r="H1226" s="2">
        <v>0.01120952331</v>
      </c>
    </row>
    <row r="1227" ht="14.25" customHeight="1">
      <c r="A1227" s="2" t="s">
        <v>134</v>
      </c>
      <c r="B1227" s="2" t="s">
        <v>23</v>
      </c>
      <c r="C1227" s="2" t="s">
        <v>33</v>
      </c>
      <c r="D1227" s="2">
        <v>17.07204657744</v>
      </c>
      <c r="E1227" s="2">
        <v>0.21915478368</v>
      </c>
      <c r="F1227" s="2">
        <v>2515.0535637984</v>
      </c>
      <c r="G1227" s="2">
        <v>0.68421010752</v>
      </c>
      <c r="H1227" s="2">
        <v>0.002476579104</v>
      </c>
    </row>
    <row r="1228" ht="14.25" customHeight="1">
      <c r="A1228" s="2" t="s">
        <v>134</v>
      </c>
      <c r="B1228" s="2" t="s">
        <v>23</v>
      </c>
      <c r="C1228" s="2" t="s">
        <v>33</v>
      </c>
      <c r="D1228" s="2">
        <v>17.07204657744</v>
      </c>
      <c r="E1228" s="2">
        <v>0.21915478368</v>
      </c>
      <c r="F1228" s="2">
        <v>2515.0535637984</v>
      </c>
      <c r="G1228" s="2">
        <v>0.68421010752</v>
      </c>
      <c r="H1228" s="2">
        <v>0.002476579104</v>
      </c>
    </row>
    <row r="1229" ht="14.25" customHeight="1">
      <c r="A1229" s="2" t="s">
        <v>134</v>
      </c>
      <c r="B1229" s="2" t="s">
        <v>209</v>
      </c>
      <c r="C1229" s="2" t="s">
        <v>24</v>
      </c>
      <c r="D1229" s="2">
        <v>0.0</v>
      </c>
      <c r="E1229" s="2">
        <v>0.0</v>
      </c>
      <c r="F1229" s="2">
        <v>0.0</v>
      </c>
      <c r="G1229" s="2">
        <v>0.0</v>
      </c>
      <c r="H1229" s="2">
        <v>0.0</v>
      </c>
    </row>
    <row r="1230" ht="14.25" customHeight="1">
      <c r="A1230" s="2" t="s">
        <v>134</v>
      </c>
      <c r="B1230" s="2" t="s">
        <v>209</v>
      </c>
      <c r="C1230" s="2" t="s">
        <v>25</v>
      </c>
      <c r="D1230" s="2">
        <v>0.0</v>
      </c>
      <c r="E1230" s="2">
        <v>0.0</v>
      </c>
      <c r="F1230" s="2">
        <v>0.0</v>
      </c>
      <c r="G1230" s="2">
        <v>0.0</v>
      </c>
      <c r="H1230" s="2">
        <v>0.0</v>
      </c>
    </row>
    <row r="1231" ht="14.25" customHeight="1">
      <c r="A1231" s="2" t="s">
        <v>134</v>
      </c>
      <c r="B1231" s="2" t="s">
        <v>209</v>
      </c>
      <c r="C1231" s="2" t="s">
        <v>25</v>
      </c>
      <c r="D1231" s="2">
        <v>0.0</v>
      </c>
      <c r="E1231" s="2">
        <v>0.0</v>
      </c>
      <c r="F1231" s="2">
        <v>0.0</v>
      </c>
      <c r="G1231" s="2">
        <v>0.0</v>
      </c>
      <c r="H1231" s="2">
        <v>0.0</v>
      </c>
    </row>
    <row r="1232" ht="14.25" customHeight="1">
      <c r="A1232" s="2" t="s">
        <v>134</v>
      </c>
      <c r="B1232" s="2" t="s">
        <v>209</v>
      </c>
      <c r="C1232" s="2" t="s">
        <v>25</v>
      </c>
      <c r="D1232" s="2">
        <v>0.0</v>
      </c>
      <c r="E1232" s="2">
        <v>0.0</v>
      </c>
      <c r="F1232" s="2">
        <v>0.0</v>
      </c>
      <c r="G1232" s="2">
        <v>0.0</v>
      </c>
      <c r="H1232" s="2">
        <v>0.0</v>
      </c>
    </row>
    <row r="1233" ht="14.25" customHeight="1">
      <c r="A1233" s="2" t="s">
        <v>134</v>
      </c>
      <c r="B1233" s="2" t="s">
        <v>209</v>
      </c>
      <c r="C1233" s="2" t="s">
        <v>25</v>
      </c>
      <c r="D1233" s="2">
        <v>0.0</v>
      </c>
      <c r="E1233" s="2">
        <v>0.0</v>
      </c>
      <c r="F1233" s="2">
        <v>0.0</v>
      </c>
      <c r="G1233" s="2">
        <v>0.0</v>
      </c>
      <c r="H1233" s="2">
        <v>0.0</v>
      </c>
    </row>
    <row r="1234" ht="14.25" customHeight="1">
      <c r="A1234" s="2" t="s">
        <v>134</v>
      </c>
      <c r="B1234" s="2" t="s">
        <v>209</v>
      </c>
      <c r="C1234" s="2" t="s">
        <v>25</v>
      </c>
      <c r="D1234" s="2">
        <v>0.0</v>
      </c>
      <c r="E1234" s="2">
        <v>0.0</v>
      </c>
      <c r="F1234" s="2">
        <v>0.0</v>
      </c>
      <c r="G1234" s="2">
        <v>0.0</v>
      </c>
      <c r="H1234" s="2">
        <v>0.0</v>
      </c>
    </row>
    <row r="1235" ht="14.25" customHeight="1">
      <c r="A1235" s="2" t="s">
        <v>134</v>
      </c>
      <c r="B1235" s="2" t="s">
        <v>209</v>
      </c>
      <c r="C1235" s="2" t="s">
        <v>32</v>
      </c>
      <c r="D1235" s="2">
        <v>0.0</v>
      </c>
      <c r="E1235" s="2">
        <v>0.0</v>
      </c>
      <c r="F1235" s="2">
        <v>0.0</v>
      </c>
      <c r="G1235" s="2">
        <v>0.0</v>
      </c>
      <c r="H1235" s="2">
        <v>0.0</v>
      </c>
    </row>
    <row r="1236" ht="14.25" customHeight="1">
      <c r="A1236" s="2" t="s">
        <v>134</v>
      </c>
      <c r="B1236" s="2" t="s">
        <v>209</v>
      </c>
      <c r="C1236" s="2" t="s">
        <v>32</v>
      </c>
      <c r="D1236" s="2">
        <v>0.0</v>
      </c>
      <c r="E1236" s="2">
        <v>0.0</v>
      </c>
      <c r="F1236" s="2">
        <v>0.0</v>
      </c>
      <c r="G1236" s="2">
        <v>0.0</v>
      </c>
      <c r="H1236" s="2">
        <v>0.0</v>
      </c>
    </row>
    <row r="1237" ht="14.25" customHeight="1">
      <c r="A1237" s="2" t="s">
        <v>134</v>
      </c>
      <c r="B1237" s="2" t="s">
        <v>209</v>
      </c>
      <c r="C1237" s="2" t="s">
        <v>26</v>
      </c>
      <c r="D1237" s="2">
        <v>0.0</v>
      </c>
      <c r="E1237" s="2">
        <v>0.0</v>
      </c>
      <c r="F1237" s="2">
        <v>0.0</v>
      </c>
      <c r="G1237" s="2">
        <v>0.0</v>
      </c>
      <c r="H1237" s="2">
        <v>0.0</v>
      </c>
    </row>
    <row r="1238" ht="14.25" customHeight="1">
      <c r="A1238" s="2" t="s">
        <v>134</v>
      </c>
      <c r="B1238" s="2" t="s">
        <v>209</v>
      </c>
      <c r="C1238" s="2" t="s">
        <v>33</v>
      </c>
      <c r="D1238" s="2">
        <v>0.0</v>
      </c>
      <c r="E1238" s="2">
        <v>0.0</v>
      </c>
      <c r="F1238" s="2">
        <v>0.0</v>
      </c>
      <c r="G1238" s="2">
        <v>0.0</v>
      </c>
      <c r="H1238" s="2">
        <v>0.0</v>
      </c>
    </row>
    <row r="1239" ht="14.25" customHeight="1">
      <c r="A1239" s="2" t="s">
        <v>134</v>
      </c>
      <c r="B1239" s="2" t="s">
        <v>209</v>
      </c>
      <c r="C1239" s="2" t="s">
        <v>33</v>
      </c>
      <c r="D1239" s="2">
        <v>0.0</v>
      </c>
      <c r="E1239" s="2">
        <v>0.0</v>
      </c>
      <c r="F1239" s="2">
        <v>0.0</v>
      </c>
      <c r="G1239" s="2">
        <v>0.0</v>
      </c>
      <c r="H1239" s="2">
        <v>0.0</v>
      </c>
    </row>
    <row r="1240" ht="14.25" customHeight="1">
      <c r="A1240" s="2" t="s">
        <v>134</v>
      </c>
      <c r="B1240" s="2" t="s">
        <v>23</v>
      </c>
      <c r="C1240" s="2" t="s">
        <v>10</v>
      </c>
      <c r="D1240" s="2">
        <v>1477.676132743787</v>
      </c>
      <c r="E1240" s="2">
        <v>2.729759675857</v>
      </c>
      <c r="F1240" s="2">
        <v>41433.92903319268</v>
      </c>
      <c r="G1240" s="2">
        <v>14.505671838392</v>
      </c>
      <c r="H1240" s="2">
        <v>0.178031249702912</v>
      </c>
    </row>
    <row r="1241" ht="14.25" customHeight="1">
      <c r="A1241" s="2" t="s">
        <v>134</v>
      </c>
      <c r="B1241" s="2" t="s">
        <v>29</v>
      </c>
      <c r="C1241" s="2" t="s">
        <v>34</v>
      </c>
      <c r="D1241" s="2">
        <v>1210.54362630504</v>
      </c>
      <c r="E1241" s="2">
        <v>1.5414744716</v>
      </c>
      <c r="F1241" s="2">
        <v>31137.60836478688</v>
      </c>
      <c r="G1241" s="2">
        <v>8.89697943532</v>
      </c>
      <c r="H1241" s="2">
        <v>0.16375487412524</v>
      </c>
    </row>
    <row r="1242" ht="14.25" customHeight="1">
      <c r="A1242" s="2" t="s">
        <v>134</v>
      </c>
      <c r="B1242" s="2" t="s">
        <v>29</v>
      </c>
      <c r="C1242" s="2" t="s">
        <v>35</v>
      </c>
      <c r="D1242" s="2">
        <v>157.94613979136</v>
      </c>
      <c r="E1242" s="2">
        <v>0.5380283904</v>
      </c>
      <c r="F1242" s="2">
        <v>3193.05378043392</v>
      </c>
      <c r="G1242" s="2">
        <v>2.03495285888</v>
      </c>
      <c r="H1242" s="2">
        <v>0.00394570034816</v>
      </c>
    </row>
    <row r="1243" ht="14.25" customHeight="1">
      <c r="A1243" s="2" t="s">
        <v>134</v>
      </c>
      <c r="B1243" s="2" t="s">
        <v>29</v>
      </c>
      <c r="C1243" s="2" t="s">
        <v>35</v>
      </c>
      <c r="D1243" s="2">
        <v>59.22980242176</v>
      </c>
      <c r="E1243" s="2">
        <v>0.2017606464</v>
      </c>
      <c r="F1243" s="2">
        <v>1197.39516766272</v>
      </c>
      <c r="G1243" s="2">
        <v>0.76310732208</v>
      </c>
      <c r="H1243" s="2">
        <v>0.00147963763056</v>
      </c>
    </row>
    <row r="1244" ht="14.25" customHeight="1">
      <c r="A1244" s="2" t="s">
        <v>134</v>
      </c>
      <c r="B1244" s="2" t="s">
        <v>29</v>
      </c>
      <c r="C1244" s="2" t="s">
        <v>35</v>
      </c>
      <c r="D1244" s="2">
        <v>31.391571035232</v>
      </c>
      <c r="E1244" s="2">
        <v>0.12547760868</v>
      </c>
      <c r="F1244" s="2">
        <v>606.078318983904</v>
      </c>
      <c r="G1244" s="2">
        <v>0.376315995456</v>
      </c>
      <c r="H1244" s="2">
        <v>7.42559341392E-4</v>
      </c>
    </row>
    <row r="1245" ht="14.25" customHeight="1">
      <c r="A1245" s="2" t="s">
        <v>134</v>
      </c>
      <c r="B1245" s="2" t="s">
        <v>29</v>
      </c>
      <c r="C1245" s="2" t="s">
        <v>36</v>
      </c>
      <c r="D1245" s="2">
        <v>0.0</v>
      </c>
      <c r="E1245" s="2">
        <v>0.0</v>
      </c>
      <c r="F1245" s="2">
        <v>0.0</v>
      </c>
      <c r="G1245" s="2">
        <v>0.0</v>
      </c>
      <c r="H1245" s="2">
        <v>0.0</v>
      </c>
    </row>
    <row r="1246" ht="14.25" customHeight="1">
      <c r="A1246" s="2" t="s">
        <v>134</v>
      </c>
      <c r="B1246" s="2" t="s">
        <v>210</v>
      </c>
      <c r="C1246" s="2" t="s">
        <v>34</v>
      </c>
      <c r="D1246" s="2">
        <v>0.0</v>
      </c>
      <c r="E1246" s="2">
        <v>0.0</v>
      </c>
      <c r="F1246" s="2">
        <v>0.0</v>
      </c>
      <c r="G1246" s="2">
        <v>0.0</v>
      </c>
      <c r="H1246" s="2">
        <v>0.0</v>
      </c>
    </row>
    <row r="1247" ht="14.25" customHeight="1">
      <c r="A1247" s="2" t="s">
        <v>134</v>
      </c>
      <c r="B1247" s="2" t="s">
        <v>210</v>
      </c>
      <c r="C1247" s="2" t="s">
        <v>35</v>
      </c>
      <c r="D1247" s="2">
        <v>0.0</v>
      </c>
      <c r="E1247" s="2">
        <v>0.0</v>
      </c>
      <c r="F1247" s="2">
        <v>0.0</v>
      </c>
      <c r="G1247" s="2">
        <v>0.0</v>
      </c>
      <c r="H1247" s="2">
        <v>0.0</v>
      </c>
    </row>
    <row r="1248" ht="14.25" customHeight="1">
      <c r="A1248" s="2" t="s">
        <v>134</v>
      </c>
      <c r="B1248" s="2" t="s">
        <v>210</v>
      </c>
      <c r="C1248" s="2" t="s">
        <v>35</v>
      </c>
      <c r="D1248" s="2">
        <v>0.0</v>
      </c>
      <c r="E1248" s="2">
        <v>0.0</v>
      </c>
      <c r="F1248" s="2">
        <v>0.0</v>
      </c>
      <c r="G1248" s="2">
        <v>0.0</v>
      </c>
      <c r="H1248" s="2">
        <v>0.0</v>
      </c>
    </row>
    <row r="1249" ht="14.25" customHeight="1">
      <c r="A1249" s="2" t="s">
        <v>134</v>
      </c>
      <c r="B1249" s="2" t="s">
        <v>210</v>
      </c>
      <c r="C1249" s="2" t="s">
        <v>35</v>
      </c>
      <c r="D1249" s="2">
        <v>0.0</v>
      </c>
      <c r="E1249" s="2">
        <v>0.0</v>
      </c>
      <c r="F1249" s="2">
        <v>0.0</v>
      </c>
      <c r="G1249" s="2">
        <v>0.0</v>
      </c>
      <c r="H1249" s="2">
        <v>0.0</v>
      </c>
    </row>
    <row r="1250" ht="14.25" customHeight="1">
      <c r="A1250" s="2" t="s">
        <v>134</v>
      </c>
      <c r="B1250" s="2" t="s">
        <v>210</v>
      </c>
      <c r="C1250" s="2" t="s">
        <v>36</v>
      </c>
      <c r="D1250" s="2">
        <v>0.0</v>
      </c>
      <c r="E1250" s="2">
        <v>0.0</v>
      </c>
      <c r="F1250" s="2">
        <v>0.0</v>
      </c>
      <c r="G1250" s="2">
        <v>0.0</v>
      </c>
      <c r="H1250" s="2">
        <v>0.0</v>
      </c>
    </row>
    <row r="1251" ht="14.25" customHeight="1">
      <c r="A1251" s="2" t="s">
        <v>134</v>
      </c>
      <c r="B1251" s="2" t="s">
        <v>29</v>
      </c>
      <c r="C1251" s="2" t="s">
        <v>10</v>
      </c>
      <c r="D1251" s="2">
        <v>1459.111139553392</v>
      </c>
      <c r="E1251" s="2">
        <v>2.40674111708</v>
      </c>
      <c r="F1251" s="2">
        <v>36134.13563186742</v>
      </c>
      <c r="G1251" s="2">
        <v>12.071355611736</v>
      </c>
      <c r="H1251" s="2">
        <v>0.169922771445352</v>
      </c>
    </row>
    <row r="1252" ht="14.25" customHeight="1">
      <c r="A1252" s="2" t="s">
        <v>134</v>
      </c>
      <c r="B1252" s="2" t="s">
        <v>18</v>
      </c>
      <c r="C1252" s="2" t="s">
        <v>10</v>
      </c>
      <c r="D1252" s="2">
        <v>0.0</v>
      </c>
      <c r="E1252" s="2">
        <v>0.0</v>
      </c>
      <c r="F1252" s="2">
        <v>0.0</v>
      </c>
      <c r="G1252" s="2">
        <v>0.0</v>
      </c>
      <c r="H1252" s="2">
        <v>0.0</v>
      </c>
    </row>
    <row r="1253" ht="14.25" customHeight="1">
      <c r="A1253" s="2" t="s">
        <v>135</v>
      </c>
      <c r="B1253" s="2" t="s">
        <v>9</v>
      </c>
      <c r="C1253" s="2" t="s">
        <v>10</v>
      </c>
      <c r="D1253" s="2">
        <v>0.0</v>
      </c>
      <c r="E1253" s="2">
        <v>0.0</v>
      </c>
      <c r="F1253" s="2">
        <v>0.0</v>
      </c>
      <c r="G1253" s="2">
        <v>0.0</v>
      </c>
      <c r="H1253" s="2">
        <v>0.0</v>
      </c>
    </row>
    <row r="1254" ht="14.25" customHeight="1">
      <c r="A1254" s="2" t="s">
        <v>135</v>
      </c>
      <c r="B1254" s="2" t="s">
        <v>11</v>
      </c>
      <c r="C1254" s="2" t="s">
        <v>12</v>
      </c>
      <c r="D1254" s="2">
        <v>245.4008005468243</v>
      </c>
      <c r="E1254" s="2">
        <v>0.06591483802169</v>
      </c>
      <c r="F1254" s="2">
        <v>3213.546406649425</v>
      </c>
      <c r="G1254" s="2">
        <v>1.7497127324404</v>
      </c>
      <c r="H1254" s="2">
        <v>0.00790523249019336</v>
      </c>
    </row>
    <row r="1255" ht="14.25" customHeight="1">
      <c r="A1255" s="2" t="s">
        <v>135</v>
      </c>
      <c r="B1255" s="2" t="s">
        <v>11</v>
      </c>
      <c r="C1255" s="2" t="s">
        <v>12</v>
      </c>
      <c r="D1255" s="2">
        <v>50.3396795944896</v>
      </c>
      <c r="E1255" s="2">
        <v>0.09897452674368</v>
      </c>
      <c r="F1255" s="2">
        <v>1411.0351655568</v>
      </c>
      <c r="G1255" s="2">
        <v>0.4669520825088</v>
      </c>
      <c r="H1255" s="2">
        <v>0.00112472313364992</v>
      </c>
    </row>
    <row r="1256" ht="14.25" customHeight="1">
      <c r="A1256" s="2" t="s">
        <v>135</v>
      </c>
      <c r="B1256" s="2" t="s">
        <v>11</v>
      </c>
      <c r="C1256" s="2" t="s">
        <v>12</v>
      </c>
      <c r="D1256" s="2">
        <v>38.695416262038</v>
      </c>
      <c r="E1256" s="2">
        <v>0.120750197685</v>
      </c>
      <c r="F1256" s="2">
        <v>832.937638728436</v>
      </c>
      <c r="G1256" s="2">
        <v>0.425445630354</v>
      </c>
      <c r="H1256" s="2">
        <v>0.002210441586513</v>
      </c>
    </row>
    <row r="1257" ht="14.25" customHeight="1">
      <c r="A1257" s="2" t="s">
        <v>135</v>
      </c>
      <c r="B1257" s="2" t="s">
        <v>11</v>
      </c>
      <c r="C1257" s="2" t="s">
        <v>13</v>
      </c>
      <c r="D1257" s="2">
        <v>169.97256537792</v>
      </c>
      <c r="E1257" s="2">
        <v>0.795817503624</v>
      </c>
      <c r="F1257" s="2">
        <v>3346.1705250348</v>
      </c>
      <c r="G1257" s="2">
        <v>3.037550175236</v>
      </c>
      <c r="H1257" s="2">
        <v>0.049414285765204</v>
      </c>
    </row>
    <row r="1258" ht="14.25" customHeight="1">
      <c r="A1258" s="2" t="s">
        <v>135</v>
      </c>
      <c r="B1258" s="2" t="s">
        <v>11</v>
      </c>
      <c r="C1258" s="2" t="s">
        <v>14</v>
      </c>
      <c r="D1258" s="2">
        <v>37.264468691925</v>
      </c>
      <c r="E1258" s="2">
        <v>0.0790390408125</v>
      </c>
      <c r="F1258" s="2">
        <v>824.33946692985</v>
      </c>
      <c r="G1258" s="2">
        <v>0.4994195529</v>
      </c>
      <c r="H1258" s="2">
        <v>0.0020069523918</v>
      </c>
    </row>
    <row r="1259" ht="14.25" customHeight="1">
      <c r="A1259" s="2" t="s">
        <v>135</v>
      </c>
      <c r="B1259" s="2" t="s">
        <v>11</v>
      </c>
      <c r="C1259" s="2" t="s">
        <v>117</v>
      </c>
      <c r="D1259" s="2">
        <v>1551.0632771136</v>
      </c>
      <c r="E1259" s="2">
        <v>1.06346527674</v>
      </c>
      <c r="F1259" s="2">
        <v>21256.40602406712</v>
      </c>
      <c r="G1259" s="2">
        <v>8.64934721226</v>
      </c>
      <c r="H1259" s="2">
        <v>0.04022586091128</v>
      </c>
    </row>
    <row r="1260" ht="14.25" customHeight="1">
      <c r="A1260" s="2" t="s">
        <v>135</v>
      </c>
      <c r="B1260" s="2" t="s">
        <v>11</v>
      </c>
      <c r="C1260" s="2" t="s">
        <v>15</v>
      </c>
      <c r="D1260" s="2">
        <v>4.75594199718</v>
      </c>
      <c r="E1260" s="2">
        <v>0.3936320147</v>
      </c>
      <c r="F1260" s="2">
        <v>96.04741956946</v>
      </c>
      <c r="G1260" s="2">
        <v>0.121207776715</v>
      </c>
      <c r="H1260" s="2">
        <v>2.727665008925E-4</v>
      </c>
    </row>
    <row r="1261" ht="14.25" customHeight="1">
      <c r="A1261" s="2" t="s">
        <v>135</v>
      </c>
      <c r="B1261" s="2" t="s">
        <v>11</v>
      </c>
      <c r="C1261" s="2" t="s">
        <v>16</v>
      </c>
      <c r="D1261" s="2">
        <v>49.16154920544</v>
      </c>
      <c r="E1261" s="2">
        <v>0.6460859538</v>
      </c>
      <c r="F1261" s="2">
        <v>1283.11510248558</v>
      </c>
      <c r="G1261" s="2">
        <v>6.41442091733226</v>
      </c>
      <c r="H1261" s="2">
        <v>0.5733188383225275</v>
      </c>
    </row>
    <row r="1262" ht="14.25" customHeight="1">
      <c r="A1262" s="2" t="s">
        <v>135</v>
      </c>
      <c r="B1262" s="2" t="s">
        <v>11</v>
      </c>
      <c r="C1262" s="2" t="s">
        <v>17</v>
      </c>
      <c r="D1262" s="2">
        <v>15.531476085</v>
      </c>
      <c r="E1262" s="2">
        <v>0.03774771945</v>
      </c>
      <c r="F1262" s="2">
        <v>412.5920139825</v>
      </c>
      <c r="G1262" s="2">
        <v>0.302365738875</v>
      </c>
      <c r="H1262" s="2">
        <v>0.0011448751845</v>
      </c>
    </row>
    <row r="1263" ht="14.25" customHeight="1">
      <c r="A1263" s="2" t="s">
        <v>135</v>
      </c>
      <c r="B1263" s="2" t="s">
        <v>208</v>
      </c>
      <c r="C1263" s="2" t="s">
        <v>12</v>
      </c>
      <c r="D1263" s="2">
        <v>0.0</v>
      </c>
      <c r="E1263" s="2">
        <v>0.0</v>
      </c>
      <c r="F1263" s="2">
        <v>0.0</v>
      </c>
      <c r="G1263" s="2">
        <v>0.0</v>
      </c>
      <c r="H1263" s="2">
        <v>0.0</v>
      </c>
    </row>
    <row r="1264" ht="14.25" customHeight="1">
      <c r="A1264" s="2" t="s">
        <v>135</v>
      </c>
      <c r="B1264" s="2" t="s">
        <v>208</v>
      </c>
      <c r="C1264" s="2" t="s">
        <v>12</v>
      </c>
      <c r="D1264" s="2">
        <v>0.0</v>
      </c>
      <c r="E1264" s="2">
        <v>0.0</v>
      </c>
      <c r="F1264" s="2">
        <v>0.0</v>
      </c>
      <c r="G1264" s="2">
        <v>0.0</v>
      </c>
      <c r="H1264" s="2">
        <v>0.0</v>
      </c>
    </row>
    <row r="1265" ht="14.25" customHeight="1">
      <c r="A1265" s="2" t="s">
        <v>135</v>
      </c>
      <c r="B1265" s="2" t="s">
        <v>208</v>
      </c>
      <c r="C1265" s="2" t="s">
        <v>12</v>
      </c>
      <c r="D1265" s="2">
        <v>0.0</v>
      </c>
      <c r="E1265" s="2">
        <v>0.0</v>
      </c>
      <c r="F1265" s="2">
        <v>0.0</v>
      </c>
      <c r="G1265" s="2">
        <v>0.0</v>
      </c>
      <c r="H1265" s="2">
        <v>0.0</v>
      </c>
    </row>
    <row r="1266" ht="14.25" customHeight="1">
      <c r="A1266" s="2" t="s">
        <v>135</v>
      </c>
      <c r="B1266" s="2" t="s">
        <v>208</v>
      </c>
      <c r="C1266" s="2" t="s">
        <v>13</v>
      </c>
      <c r="D1266" s="2">
        <v>0.0</v>
      </c>
      <c r="E1266" s="2">
        <v>0.0</v>
      </c>
      <c r="F1266" s="2">
        <v>0.0</v>
      </c>
      <c r="G1266" s="2">
        <v>0.0</v>
      </c>
      <c r="H1266" s="2">
        <v>0.0</v>
      </c>
    </row>
    <row r="1267" ht="14.25" customHeight="1">
      <c r="A1267" s="2" t="s">
        <v>135</v>
      </c>
      <c r="B1267" s="2" t="s">
        <v>208</v>
      </c>
      <c r="C1267" s="2" t="s">
        <v>14</v>
      </c>
      <c r="D1267" s="2">
        <v>0.0</v>
      </c>
      <c r="E1267" s="2">
        <v>0.0</v>
      </c>
      <c r="F1267" s="2">
        <v>0.0</v>
      </c>
      <c r="G1267" s="2">
        <v>0.0</v>
      </c>
      <c r="H1267" s="2">
        <v>0.0</v>
      </c>
    </row>
    <row r="1268" ht="14.25" customHeight="1">
      <c r="A1268" s="2" t="s">
        <v>135</v>
      </c>
      <c r="B1268" s="2" t="s">
        <v>208</v>
      </c>
      <c r="C1268" s="2" t="s">
        <v>117</v>
      </c>
      <c r="D1268" s="2">
        <v>0.0</v>
      </c>
      <c r="E1268" s="2">
        <v>0.0</v>
      </c>
      <c r="F1268" s="2">
        <v>0.0</v>
      </c>
      <c r="G1268" s="2">
        <v>0.0</v>
      </c>
      <c r="H1268" s="2">
        <v>0.0</v>
      </c>
    </row>
    <row r="1269" ht="14.25" customHeight="1">
      <c r="A1269" s="2" t="s">
        <v>135</v>
      </c>
      <c r="B1269" s="2" t="s">
        <v>208</v>
      </c>
      <c r="C1269" s="2" t="s">
        <v>15</v>
      </c>
      <c r="D1269" s="2">
        <v>0.0</v>
      </c>
      <c r="E1269" s="2">
        <v>0.0</v>
      </c>
      <c r="F1269" s="2">
        <v>0.0</v>
      </c>
      <c r="G1269" s="2">
        <v>0.0</v>
      </c>
      <c r="H1269" s="2">
        <v>0.0</v>
      </c>
    </row>
    <row r="1270" ht="14.25" customHeight="1">
      <c r="A1270" s="2" t="s">
        <v>135</v>
      </c>
      <c r="B1270" s="2" t="s">
        <v>208</v>
      </c>
      <c r="C1270" s="2" t="s">
        <v>16</v>
      </c>
      <c r="D1270" s="2">
        <v>0.0</v>
      </c>
      <c r="E1270" s="2">
        <v>0.0</v>
      </c>
      <c r="F1270" s="2">
        <v>0.0</v>
      </c>
      <c r="G1270" s="2">
        <v>0.0</v>
      </c>
      <c r="H1270" s="2">
        <v>0.0</v>
      </c>
    </row>
    <row r="1271" ht="14.25" customHeight="1">
      <c r="A1271" s="2" t="s">
        <v>135</v>
      </c>
      <c r="B1271" s="2" t="s">
        <v>208</v>
      </c>
      <c r="C1271" s="2" t="s">
        <v>17</v>
      </c>
      <c r="D1271" s="2">
        <v>0.0</v>
      </c>
      <c r="E1271" s="2">
        <v>0.0</v>
      </c>
      <c r="F1271" s="2">
        <v>0.0</v>
      </c>
      <c r="G1271" s="2">
        <v>0.0</v>
      </c>
      <c r="H1271" s="2">
        <v>0.0</v>
      </c>
    </row>
    <row r="1272" ht="14.25" customHeight="1">
      <c r="A1272" s="2" t="s">
        <v>135</v>
      </c>
      <c r="B1272" s="2" t="s">
        <v>11</v>
      </c>
      <c r="C1272" s="2" t="s">
        <v>10</v>
      </c>
      <c r="D1272" s="2">
        <v>2162.185174874417</v>
      </c>
      <c r="E1272" s="2">
        <v>3.30142707157687</v>
      </c>
      <c r="F1272" s="2">
        <v>32676.18976300397</v>
      </c>
      <c r="G1272" s="2">
        <v>21.66642181862146</v>
      </c>
      <c r="H1272" s="2">
        <v>0.6776239762865602</v>
      </c>
    </row>
    <row r="1273" ht="14.25" customHeight="1">
      <c r="A1273" s="2" t="s">
        <v>135</v>
      </c>
      <c r="B1273" s="2" t="s">
        <v>18</v>
      </c>
      <c r="C1273" s="2" t="s">
        <v>10</v>
      </c>
      <c r="D1273" s="2">
        <v>0.0</v>
      </c>
      <c r="E1273" s="2">
        <v>0.0</v>
      </c>
      <c r="F1273" s="2">
        <v>0.0</v>
      </c>
      <c r="G1273" s="2">
        <v>0.0</v>
      </c>
      <c r="H1273" s="2">
        <v>0.0</v>
      </c>
    </row>
    <row r="1274" ht="14.25" customHeight="1">
      <c r="A1274" s="2" t="s">
        <v>136</v>
      </c>
      <c r="B1274" s="2" t="s">
        <v>21</v>
      </c>
      <c r="C1274" s="2" t="s">
        <v>10</v>
      </c>
      <c r="D1274" s="2">
        <v>0.0</v>
      </c>
      <c r="E1274" s="2">
        <v>0.0</v>
      </c>
      <c r="F1274" s="2">
        <v>0.0</v>
      </c>
      <c r="G1274" s="2">
        <v>0.0</v>
      </c>
      <c r="H1274" s="2">
        <v>0.0</v>
      </c>
    </row>
    <row r="1275" ht="14.25" customHeight="1">
      <c r="A1275" s="2" t="s">
        <v>136</v>
      </c>
      <c r="B1275" s="2" t="s">
        <v>22</v>
      </c>
      <c r="C1275" s="2" t="s">
        <v>10</v>
      </c>
      <c r="D1275" s="2">
        <v>0.0</v>
      </c>
      <c r="E1275" s="2">
        <v>0.0</v>
      </c>
      <c r="F1275" s="2">
        <v>0.0</v>
      </c>
      <c r="G1275" s="2">
        <v>0.0</v>
      </c>
      <c r="H1275" s="2">
        <v>0.0</v>
      </c>
    </row>
    <row r="1276" ht="14.25" customHeight="1">
      <c r="A1276" s="2" t="s">
        <v>136</v>
      </c>
      <c r="B1276" s="2" t="s">
        <v>23</v>
      </c>
      <c r="C1276" s="2" t="s">
        <v>24</v>
      </c>
      <c r="D1276" s="2">
        <v>8362.6784990996</v>
      </c>
      <c r="E1276" s="2">
        <v>9.791448426</v>
      </c>
      <c r="F1276" s="2">
        <v>202963.1483596562</v>
      </c>
      <c r="G1276" s="2">
        <v>53.21818381555</v>
      </c>
      <c r="H1276" s="2">
        <v>0.969685714963225</v>
      </c>
    </row>
    <row r="1277" ht="14.25" customHeight="1">
      <c r="A1277" s="2" t="s">
        <v>136</v>
      </c>
      <c r="B1277" s="2" t="s">
        <v>23</v>
      </c>
      <c r="C1277" s="2" t="s">
        <v>24</v>
      </c>
      <c r="D1277" s="2">
        <v>709.7476216948</v>
      </c>
      <c r="E1277" s="2">
        <v>0.831008538</v>
      </c>
      <c r="F1277" s="2">
        <v>17225.6546578306</v>
      </c>
      <c r="G1277" s="2">
        <v>4.51667242715</v>
      </c>
      <c r="H1277" s="2">
        <v>0.082298049609425</v>
      </c>
    </row>
    <row r="1278" ht="14.25" customHeight="1">
      <c r="A1278" s="2" t="s">
        <v>136</v>
      </c>
      <c r="B1278" s="2" t="s">
        <v>23</v>
      </c>
      <c r="C1278" s="2" t="s">
        <v>24</v>
      </c>
      <c r="D1278" s="2">
        <v>548.72150112256</v>
      </c>
      <c r="E1278" s="2">
        <v>0.7819154048</v>
      </c>
      <c r="F1278" s="2">
        <v>15345.34366367232</v>
      </c>
      <c r="G1278" s="2">
        <v>4.86750642048</v>
      </c>
      <c r="H1278" s="2">
        <v>0.09062556339136</v>
      </c>
    </row>
    <row r="1279" ht="14.25" customHeight="1">
      <c r="A1279" s="2" t="s">
        <v>136</v>
      </c>
      <c r="B1279" s="2" t="s">
        <v>23</v>
      </c>
      <c r="C1279" s="2" t="s">
        <v>25</v>
      </c>
      <c r="D1279" s="2">
        <v>372.2316226578</v>
      </c>
      <c r="E1279" s="2">
        <v>1.271947905</v>
      </c>
      <c r="F1279" s="2">
        <v>7544.0240928666</v>
      </c>
      <c r="G1279" s="2">
        <v>4.85464441365</v>
      </c>
      <c r="H1279" s="2">
        <v>0.009398188706175</v>
      </c>
    </row>
    <row r="1280" ht="14.25" customHeight="1">
      <c r="A1280" s="2" t="s">
        <v>136</v>
      </c>
      <c r="B1280" s="2" t="s">
        <v>23</v>
      </c>
      <c r="C1280" s="2" t="s">
        <v>25</v>
      </c>
      <c r="D1280" s="2">
        <v>31.6275234938</v>
      </c>
      <c r="E1280" s="2">
        <v>0.108074005</v>
      </c>
      <c r="F1280" s="2">
        <v>640.9955111586</v>
      </c>
      <c r="G1280" s="2">
        <v>0.41248612665</v>
      </c>
      <c r="H1280" s="2">
        <v>7.98538909675E-4</v>
      </c>
    </row>
    <row r="1281" ht="14.25" customHeight="1">
      <c r="A1281" s="2" t="s">
        <v>136</v>
      </c>
      <c r="B1281" s="2" t="s">
        <v>23</v>
      </c>
      <c r="C1281" s="2" t="s">
        <v>25</v>
      </c>
      <c r="D1281" s="2">
        <v>35.03356448544</v>
      </c>
      <c r="E1281" s="2">
        <v>0.119712744</v>
      </c>
      <c r="F1281" s="2">
        <v>710.02579697568</v>
      </c>
      <c r="G1281" s="2">
        <v>0.45690770952</v>
      </c>
      <c r="H1281" s="2">
        <v>8.8453540764E-4</v>
      </c>
    </row>
    <row r="1282" ht="14.25" customHeight="1">
      <c r="A1282" s="2" t="s">
        <v>136</v>
      </c>
      <c r="B1282" s="2" t="s">
        <v>23</v>
      </c>
      <c r="C1282" s="2" t="s">
        <v>32</v>
      </c>
      <c r="D1282" s="2">
        <v>2.0866842314604</v>
      </c>
      <c r="E1282" s="2">
        <v>0.006553124721</v>
      </c>
      <c r="F1282" s="2">
        <v>54.7460327113128</v>
      </c>
      <c r="G1282" s="2">
        <v>0.0348733487817</v>
      </c>
      <c r="H1282" s="2">
        <v>1.6848521111565E-4</v>
      </c>
    </row>
    <row r="1283" ht="14.25" customHeight="1">
      <c r="A1283" s="2" t="s">
        <v>136</v>
      </c>
      <c r="B1283" s="2" t="s">
        <v>23</v>
      </c>
      <c r="C1283" s="2" t="s">
        <v>26</v>
      </c>
      <c r="D1283" s="2">
        <v>62.38678990785062</v>
      </c>
      <c r="E1283" s="2">
        <v>0.177378312893925</v>
      </c>
      <c r="F1283" s="2">
        <v>1304.937657175497</v>
      </c>
      <c r="G1283" s="2">
        <v>0.9244989091075237</v>
      </c>
      <c r="H1283" s="2">
        <v>0.004343381371328732</v>
      </c>
    </row>
    <row r="1284" ht="14.25" customHeight="1">
      <c r="A1284" s="2" t="s">
        <v>136</v>
      </c>
      <c r="B1284" s="2" t="s">
        <v>23</v>
      </c>
      <c r="C1284" s="2" t="s">
        <v>46</v>
      </c>
      <c r="D1284" s="2">
        <v>3.02815245166</v>
      </c>
      <c r="E1284" s="2">
        <v>0.03887255652</v>
      </c>
      <c r="F1284" s="2">
        <v>446.1073592276</v>
      </c>
      <c r="G1284" s="2">
        <v>0.12136169528</v>
      </c>
      <c r="H1284" s="2">
        <v>4.39282956E-4</v>
      </c>
    </row>
    <row r="1285" ht="14.25" customHeight="1">
      <c r="A1285" s="2" t="s">
        <v>136</v>
      </c>
      <c r="B1285" s="2" t="s">
        <v>23</v>
      </c>
      <c r="C1285" s="2" t="s">
        <v>33</v>
      </c>
      <c r="D1285" s="2">
        <v>20.6070027867</v>
      </c>
      <c r="E1285" s="2">
        <v>0.2645332074</v>
      </c>
      <c r="F1285" s="2">
        <v>3035.823242562</v>
      </c>
      <c r="G1285" s="2">
        <v>0.8258833836</v>
      </c>
      <c r="H1285" s="2">
        <v>0.00298938222</v>
      </c>
    </row>
    <row r="1286" ht="14.25" customHeight="1">
      <c r="A1286" s="2" t="s">
        <v>136</v>
      </c>
      <c r="B1286" s="2" t="s">
        <v>23</v>
      </c>
      <c r="C1286" s="2" t="s">
        <v>27</v>
      </c>
      <c r="D1286" s="2">
        <v>206.478506662848</v>
      </c>
      <c r="E1286" s="2">
        <v>2.71356100596</v>
      </c>
      <c r="F1286" s="2">
        <v>5389.083430439436</v>
      </c>
      <c r="G1286" s="2">
        <v>26.973693081279</v>
      </c>
      <c r="H1286" s="2">
        <v>2.407939120954615</v>
      </c>
    </row>
    <row r="1287" ht="14.25" customHeight="1">
      <c r="A1287" s="2" t="s">
        <v>136</v>
      </c>
      <c r="B1287" s="2" t="s">
        <v>23</v>
      </c>
      <c r="C1287" s="2" t="s">
        <v>28</v>
      </c>
      <c r="D1287" s="2">
        <v>14.5515835962</v>
      </c>
      <c r="E1287" s="2">
        <v>0.17672947929</v>
      </c>
      <c r="F1287" s="2">
        <v>2077.0866739665</v>
      </c>
      <c r="G1287" s="2">
        <v>0.564985305675</v>
      </c>
      <c r="H1287" s="2">
        <v>0.0019935400149</v>
      </c>
    </row>
    <row r="1288" ht="14.25" customHeight="1">
      <c r="A1288" s="2" t="s">
        <v>136</v>
      </c>
      <c r="B1288" s="2" t="s">
        <v>209</v>
      </c>
      <c r="C1288" s="2" t="s">
        <v>24</v>
      </c>
      <c r="D1288" s="2">
        <v>0.0</v>
      </c>
      <c r="E1288" s="2">
        <v>0.0</v>
      </c>
      <c r="F1288" s="2">
        <v>0.0</v>
      </c>
      <c r="G1288" s="2">
        <v>0.0</v>
      </c>
      <c r="H1288" s="2">
        <v>0.0</v>
      </c>
    </row>
    <row r="1289" ht="14.25" customHeight="1">
      <c r="A1289" s="2" t="s">
        <v>136</v>
      </c>
      <c r="B1289" s="2" t="s">
        <v>209</v>
      </c>
      <c r="C1289" s="2" t="s">
        <v>24</v>
      </c>
      <c r="D1289" s="2">
        <v>0.0</v>
      </c>
      <c r="E1289" s="2">
        <v>0.0</v>
      </c>
      <c r="F1289" s="2">
        <v>0.0</v>
      </c>
      <c r="G1289" s="2">
        <v>0.0</v>
      </c>
      <c r="H1289" s="2">
        <v>0.0</v>
      </c>
    </row>
    <row r="1290" ht="14.25" customHeight="1">
      <c r="A1290" s="2" t="s">
        <v>136</v>
      </c>
      <c r="B1290" s="2" t="s">
        <v>209</v>
      </c>
      <c r="C1290" s="2" t="s">
        <v>24</v>
      </c>
      <c r="D1290" s="2">
        <v>0.0</v>
      </c>
      <c r="E1290" s="2">
        <v>0.0</v>
      </c>
      <c r="F1290" s="2">
        <v>0.0</v>
      </c>
      <c r="G1290" s="2">
        <v>0.0</v>
      </c>
      <c r="H1290" s="2">
        <v>0.0</v>
      </c>
    </row>
    <row r="1291" ht="14.25" customHeight="1">
      <c r="A1291" s="2" t="s">
        <v>136</v>
      </c>
      <c r="B1291" s="2" t="s">
        <v>209</v>
      </c>
      <c r="C1291" s="2" t="s">
        <v>25</v>
      </c>
      <c r="D1291" s="2">
        <v>0.0</v>
      </c>
      <c r="E1291" s="2">
        <v>0.0</v>
      </c>
      <c r="F1291" s="2">
        <v>0.0</v>
      </c>
      <c r="G1291" s="2">
        <v>0.0</v>
      </c>
      <c r="H1291" s="2">
        <v>0.0</v>
      </c>
    </row>
    <row r="1292" ht="14.25" customHeight="1">
      <c r="A1292" s="2" t="s">
        <v>136</v>
      </c>
      <c r="B1292" s="2" t="s">
        <v>209</v>
      </c>
      <c r="C1292" s="2" t="s">
        <v>25</v>
      </c>
      <c r="D1292" s="2">
        <v>0.0</v>
      </c>
      <c r="E1292" s="2">
        <v>0.0</v>
      </c>
      <c r="F1292" s="2">
        <v>0.0</v>
      </c>
      <c r="G1292" s="2">
        <v>0.0</v>
      </c>
      <c r="H1292" s="2">
        <v>0.0</v>
      </c>
    </row>
    <row r="1293" ht="14.25" customHeight="1">
      <c r="A1293" s="2" t="s">
        <v>136</v>
      </c>
      <c r="B1293" s="2" t="s">
        <v>209</v>
      </c>
      <c r="C1293" s="2" t="s">
        <v>25</v>
      </c>
      <c r="D1293" s="2">
        <v>0.0</v>
      </c>
      <c r="E1293" s="2">
        <v>0.0</v>
      </c>
      <c r="F1293" s="2">
        <v>0.0</v>
      </c>
      <c r="G1293" s="2">
        <v>0.0</v>
      </c>
      <c r="H1293" s="2">
        <v>0.0</v>
      </c>
    </row>
    <row r="1294" ht="14.25" customHeight="1">
      <c r="A1294" s="2" t="s">
        <v>136</v>
      </c>
      <c r="B1294" s="2" t="s">
        <v>209</v>
      </c>
      <c r="C1294" s="2" t="s">
        <v>32</v>
      </c>
      <c r="D1294" s="2">
        <v>0.0</v>
      </c>
      <c r="E1294" s="2">
        <v>0.0</v>
      </c>
      <c r="F1294" s="2">
        <v>0.0</v>
      </c>
      <c r="G1294" s="2">
        <v>0.0</v>
      </c>
      <c r="H1294" s="2">
        <v>0.0</v>
      </c>
    </row>
    <row r="1295" ht="14.25" customHeight="1">
      <c r="A1295" s="2" t="s">
        <v>136</v>
      </c>
      <c r="B1295" s="2" t="s">
        <v>209</v>
      </c>
      <c r="C1295" s="2" t="s">
        <v>26</v>
      </c>
      <c r="D1295" s="2">
        <v>0.0</v>
      </c>
      <c r="E1295" s="2">
        <v>0.0</v>
      </c>
      <c r="F1295" s="2">
        <v>0.0</v>
      </c>
      <c r="G1295" s="2">
        <v>0.0</v>
      </c>
      <c r="H1295" s="2">
        <v>0.0</v>
      </c>
    </row>
    <row r="1296" ht="14.25" customHeight="1">
      <c r="A1296" s="2" t="s">
        <v>136</v>
      </c>
      <c r="B1296" s="2" t="s">
        <v>209</v>
      </c>
      <c r="C1296" s="2" t="s">
        <v>46</v>
      </c>
      <c r="D1296" s="2">
        <v>0.0</v>
      </c>
      <c r="E1296" s="2">
        <v>0.0</v>
      </c>
      <c r="F1296" s="2">
        <v>0.0</v>
      </c>
      <c r="G1296" s="2">
        <v>0.0</v>
      </c>
      <c r="H1296" s="2">
        <v>0.0</v>
      </c>
    </row>
    <row r="1297" ht="14.25" customHeight="1">
      <c r="A1297" s="2" t="s">
        <v>136</v>
      </c>
      <c r="B1297" s="2" t="s">
        <v>209</v>
      </c>
      <c r="C1297" s="2" t="s">
        <v>33</v>
      </c>
      <c r="D1297" s="2">
        <v>0.0</v>
      </c>
      <c r="E1297" s="2">
        <v>0.0</v>
      </c>
      <c r="F1297" s="2">
        <v>0.0</v>
      </c>
      <c r="G1297" s="2">
        <v>0.0</v>
      </c>
      <c r="H1297" s="2">
        <v>0.0</v>
      </c>
    </row>
    <row r="1298" ht="14.25" customHeight="1">
      <c r="A1298" s="2" t="s">
        <v>136</v>
      </c>
      <c r="B1298" s="2" t="s">
        <v>209</v>
      </c>
      <c r="C1298" s="2" t="s">
        <v>27</v>
      </c>
      <c r="D1298" s="2">
        <v>0.0</v>
      </c>
      <c r="E1298" s="2">
        <v>0.0</v>
      </c>
      <c r="F1298" s="2">
        <v>0.0</v>
      </c>
      <c r="G1298" s="2">
        <v>0.0</v>
      </c>
      <c r="H1298" s="2">
        <v>0.0</v>
      </c>
    </row>
    <row r="1299" ht="14.25" customHeight="1">
      <c r="A1299" s="2" t="s">
        <v>136</v>
      </c>
      <c r="B1299" s="2" t="s">
        <v>209</v>
      </c>
      <c r="C1299" s="2" t="s">
        <v>28</v>
      </c>
      <c r="D1299" s="2">
        <v>0.0</v>
      </c>
      <c r="E1299" s="2">
        <v>0.0</v>
      </c>
      <c r="F1299" s="2">
        <v>0.0</v>
      </c>
      <c r="G1299" s="2">
        <v>0.0</v>
      </c>
      <c r="H1299" s="2">
        <v>0.0</v>
      </c>
    </row>
    <row r="1300" ht="14.25" customHeight="1">
      <c r="A1300" s="2" t="s">
        <v>136</v>
      </c>
      <c r="B1300" s="2" t="s">
        <v>23</v>
      </c>
      <c r="C1300" s="2" t="s">
        <v>10</v>
      </c>
      <c r="D1300" s="2">
        <v>10369.17905219072</v>
      </c>
      <c r="E1300" s="2">
        <v>16.28173470958492</v>
      </c>
      <c r="F1300" s="2">
        <v>256736.9764782423</v>
      </c>
      <c r="G1300" s="2">
        <v>97.77169663672322</v>
      </c>
      <c r="H1300" s="2">
        <v>3.57156378371546</v>
      </c>
    </row>
    <row r="1301" ht="14.25" customHeight="1">
      <c r="A1301" s="2" t="s">
        <v>136</v>
      </c>
      <c r="B1301" s="2" t="s">
        <v>29</v>
      </c>
      <c r="C1301" s="2" t="s">
        <v>10</v>
      </c>
      <c r="D1301" s="2">
        <v>0.0</v>
      </c>
      <c r="E1301" s="2">
        <v>0.0</v>
      </c>
      <c r="F1301" s="2">
        <v>0.0</v>
      </c>
      <c r="G1301" s="2">
        <v>0.0</v>
      </c>
      <c r="H1301" s="2">
        <v>0.0</v>
      </c>
    </row>
    <row r="1302" ht="14.25" customHeight="1">
      <c r="A1302" s="2" t="s">
        <v>136</v>
      </c>
      <c r="B1302" s="2" t="s">
        <v>18</v>
      </c>
      <c r="C1302" s="2" t="s">
        <v>10</v>
      </c>
      <c r="D1302" s="2">
        <v>0.0</v>
      </c>
      <c r="E1302" s="2">
        <v>0.0</v>
      </c>
      <c r="F1302" s="2">
        <v>0.0</v>
      </c>
      <c r="G1302" s="2">
        <v>0.0</v>
      </c>
      <c r="H1302" s="2">
        <v>0.0</v>
      </c>
    </row>
    <row r="1303" ht="14.25" customHeight="1">
      <c r="A1303" s="2" t="s">
        <v>137</v>
      </c>
      <c r="B1303" s="2" t="s">
        <v>9</v>
      </c>
      <c r="C1303" s="2" t="s">
        <v>10</v>
      </c>
      <c r="D1303" s="2">
        <v>0.0</v>
      </c>
      <c r="E1303" s="2">
        <v>0.0</v>
      </c>
      <c r="F1303" s="2">
        <v>0.0</v>
      </c>
      <c r="G1303" s="2">
        <v>0.0</v>
      </c>
      <c r="H1303" s="2">
        <v>0.0</v>
      </c>
    </row>
    <row r="1304" ht="14.25" customHeight="1">
      <c r="A1304" s="2" t="s">
        <v>137</v>
      </c>
      <c r="B1304" s="2" t="s">
        <v>11</v>
      </c>
      <c r="C1304" s="2" t="s">
        <v>12</v>
      </c>
      <c r="D1304" s="2">
        <v>251.4879127331029</v>
      </c>
      <c r="E1304" s="2">
        <v>0.06754984089407</v>
      </c>
      <c r="F1304" s="2">
        <v>3293.257709340775</v>
      </c>
      <c r="G1304" s="2">
        <v>1.7931139669612</v>
      </c>
      <c r="H1304" s="2">
        <v>0.00810132002095608</v>
      </c>
    </row>
    <row r="1305" ht="14.25" customHeight="1">
      <c r="A1305" s="2" t="s">
        <v>137</v>
      </c>
      <c r="B1305" s="2" t="s">
        <v>11</v>
      </c>
      <c r="C1305" s="2" t="s">
        <v>12</v>
      </c>
      <c r="D1305" s="2">
        <v>51.6131536318502</v>
      </c>
      <c r="E1305" s="2">
        <v>0.10147834661666</v>
      </c>
      <c r="F1305" s="2">
        <v>1446.73099563785</v>
      </c>
      <c r="G1305" s="2">
        <v>0.4787648584056</v>
      </c>
      <c r="H1305" s="2">
        <v>0.00115317595101904</v>
      </c>
    </row>
    <row r="1306" ht="14.25" customHeight="1">
      <c r="A1306" s="2" t="s">
        <v>137</v>
      </c>
      <c r="B1306" s="2" t="s">
        <v>11</v>
      </c>
      <c r="C1306" s="2" t="s">
        <v>12</v>
      </c>
      <c r="D1306" s="2">
        <v>39.8219916721986</v>
      </c>
      <c r="E1306" s="2">
        <v>0.1242657097695</v>
      </c>
      <c r="F1306" s="2">
        <v>857.1877218812892</v>
      </c>
      <c r="G1306" s="2">
        <v>0.4378320221238</v>
      </c>
      <c r="H1306" s="2">
        <v>0.0022747962149811</v>
      </c>
    </row>
    <row r="1307" ht="14.25" customHeight="1">
      <c r="A1307" s="2" t="s">
        <v>137</v>
      </c>
      <c r="B1307" s="2" t="s">
        <v>11</v>
      </c>
      <c r="C1307" s="2" t="s">
        <v>13</v>
      </c>
      <c r="D1307" s="2">
        <v>174.2425406832</v>
      </c>
      <c r="E1307" s="2">
        <v>0.81580967754</v>
      </c>
      <c r="F1307" s="2">
        <v>3430.231534983</v>
      </c>
      <c r="G1307" s="2">
        <v>3.11385816181</v>
      </c>
      <c r="H1307" s="2">
        <v>0.05065564950809</v>
      </c>
    </row>
    <row r="1308" ht="14.25" customHeight="1">
      <c r="A1308" s="2" t="s">
        <v>137</v>
      </c>
      <c r="B1308" s="2" t="s">
        <v>11</v>
      </c>
      <c r="C1308" s="2" t="s">
        <v>14</v>
      </c>
      <c r="D1308" s="2">
        <v>42.3563532602112</v>
      </c>
      <c r="E1308" s="2">
        <v>0.103525300032</v>
      </c>
      <c r="F1308" s="2">
        <v>838.2360051761664</v>
      </c>
      <c r="G1308" s="2">
        <v>0.5023392208896</v>
      </c>
      <c r="H1308" s="2">
        <v>0.0021487077292032</v>
      </c>
    </row>
    <row r="1309" ht="14.25" customHeight="1">
      <c r="A1309" s="2" t="s">
        <v>137</v>
      </c>
      <c r="B1309" s="2" t="s">
        <v>11</v>
      </c>
      <c r="C1309" s="2" t="s">
        <v>117</v>
      </c>
      <c r="D1309" s="2">
        <v>300.45754047232</v>
      </c>
      <c r="E1309" s="2">
        <v>0.206004594488</v>
      </c>
      <c r="F1309" s="2">
        <v>4117.593116611744</v>
      </c>
      <c r="G1309" s="2">
        <v>1.675471032312</v>
      </c>
      <c r="H1309" s="2">
        <v>0.007792179346336</v>
      </c>
    </row>
    <row r="1310" ht="14.25" customHeight="1">
      <c r="A1310" s="2" t="s">
        <v>137</v>
      </c>
      <c r="B1310" s="2" t="s">
        <v>11</v>
      </c>
      <c r="C1310" s="2" t="s">
        <v>15</v>
      </c>
      <c r="D1310" s="2">
        <v>4.86654529944</v>
      </c>
      <c r="E1310" s="2">
        <v>0.4027862476</v>
      </c>
      <c r="F1310" s="2">
        <v>98.28108048968</v>
      </c>
      <c r="G1310" s="2">
        <v>0.12402656222</v>
      </c>
      <c r="H1310" s="2">
        <v>2.7910990789E-4</v>
      </c>
    </row>
    <row r="1311" ht="14.25" customHeight="1">
      <c r="A1311" s="2" t="s">
        <v>137</v>
      </c>
      <c r="B1311" s="2" t="s">
        <v>11</v>
      </c>
      <c r="C1311" s="2" t="s">
        <v>16</v>
      </c>
      <c r="D1311" s="2">
        <v>52.438985819136</v>
      </c>
      <c r="E1311" s="2">
        <v>0.68915835072</v>
      </c>
      <c r="F1311" s="2">
        <v>1368.656109317952</v>
      </c>
      <c r="G1311" s="2">
        <v>6.842048978487744</v>
      </c>
      <c r="H1311" s="2">
        <v>0.611540094210696</v>
      </c>
    </row>
    <row r="1312" ht="14.25" customHeight="1">
      <c r="A1312" s="2" t="s">
        <v>137</v>
      </c>
      <c r="B1312" s="2" t="s">
        <v>11</v>
      </c>
      <c r="C1312" s="2" t="s">
        <v>17</v>
      </c>
      <c r="D1312" s="2">
        <v>16.566907824</v>
      </c>
      <c r="E1312" s="2">
        <v>0.04026423408</v>
      </c>
      <c r="F1312" s="2">
        <v>440.098148248</v>
      </c>
      <c r="G1312" s="2">
        <v>0.3225234548</v>
      </c>
      <c r="H1312" s="2">
        <v>0.0012212001968</v>
      </c>
    </row>
    <row r="1313" ht="14.25" customHeight="1">
      <c r="A1313" s="2" t="s">
        <v>137</v>
      </c>
      <c r="B1313" s="2" t="s">
        <v>208</v>
      </c>
      <c r="C1313" s="2" t="s">
        <v>12</v>
      </c>
      <c r="D1313" s="2">
        <v>0.0</v>
      </c>
      <c r="E1313" s="2">
        <v>0.0</v>
      </c>
      <c r="F1313" s="2">
        <v>0.0</v>
      </c>
      <c r="G1313" s="2">
        <v>0.0</v>
      </c>
      <c r="H1313" s="2">
        <v>0.0</v>
      </c>
    </row>
    <row r="1314" ht="14.25" customHeight="1">
      <c r="A1314" s="2" t="s">
        <v>137</v>
      </c>
      <c r="B1314" s="2" t="s">
        <v>208</v>
      </c>
      <c r="C1314" s="2" t="s">
        <v>12</v>
      </c>
      <c r="D1314" s="2">
        <v>0.0</v>
      </c>
      <c r="E1314" s="2">
        <v>0.0</v>
      </c>
      <c r="F1314" s="2">
        <v>0.0</v>
      </c>
      <c r="G1314" s="2">
        <v>0.0</v>
      </c>
      <c r="H1314" s="2">
        <v>0.0</v>
      </c>
    </row>
    <row r="1315" ht="14.25" customHeight="1">
      <c r="A1315" s="2" t="s">
        <v>137</v>
      </c>
      <c r="B1315" s="2" t="s">
        <v>208</v>
      </c>
      <c r="C1315" s="2" t="s">
        <v>12</v>
      </c>
      <c r="D1315" s="2">
        <v>0.0</v>
      </c>
      <c r="E1315" s="2">
        <v>0.0</v>
      </c>
      <c r="F1315" s="2">
        <v>0.0</v>
      </c>
      <c r="G1315" s="2">
        <v>0.0</v>
      </c>
      <c r="H1315" s="2">
        <v>0.0</v>
      </c>
    </row>
    <row r="1316" ht="14.25" customHeight="1">
      <c r="A1316" s="2" t="s">
        <v>137</v>
      </c>
      <c r="B1316" s="2" t="s">
        <v>208</v>
      </c>
      <c r="C1316" s="2" t="s">
        <v>13</v>
      </c>
      <c r="D1316" s="2">
        <v>0.0</v>
      </c>
      <c r="E1316" s="2">
        <v>0.0</v>
      </c>
      <c r="F1316" s="2">
        <v>0.0</v>
      </c>
      <c r="G1316" s="2">
        <v>0.0</v>
      </c>
      <c r="H1316" s="2">
        <v>0.0</v>
      </c>
    </row>
    <row r="1317" ht="14.25" customHeight="1">
      <c r="A1317" s="2" t="s">
        <v>137</v>
      </c>
      <c r="B1317" s="2" t="s">
        <v>208</v>
      </c>
      <c r="C1317" s="2" t="s">
        <v>14</v>
      </c>
      <c r="D1317" s="2">
        <v>0.0</v>
      </c>
      <c r="E1317" s="2">
        <v>0.0</v>
      </c>
      <c r="F1317" s="2">
        <v>0.0</v>
      </c>
      <c r="G1317" s="2">
        <v>0.0</v>
      </c>
      <c r="H1317" s="2">
        <v>0.0</v>
      </c>
    </row>
    <row r="1318" ht="14.25" customHeight="1">
      <c r="A1318" s="2" t="s">
        <v>137</v>
      </c>
      <c r="B1318" s="2" t="s">
        <v>208</v>
      </c>
      <c r="C1318" s="2" t="s">
        <v>117</v>
      </c>
      <c r="D1318" s="2">
        <v>0.0</v>
      </c>
      <c r="E1318" s="2">
        <v>0.0</v>
      </c>
      <c r="F1318" s="2">
        <v>0.0</v>
      </c>
      <c r="G1318" s="2">
        <v>0.0</v>
      </c>
      <c r="H1318" s="2">
        <v>0.0</v>
      </c>
    </row>
    <row r="1319" ht="14.25" customHeight="1">
      <c r="A1319" s="2" t="s">
        <v>137</v>
      </c>
      <c r="B1319" s="2" t="s">
        <v>208</v>
      </c>
      <c r="C1319" s="2" t="s">
        <v>15</v>
      </c>
      <c r="D1319" s="2">
        <v>0.0</v>
      </c>
      <c r="E1319" s="2">
        <v>0.0</v>
      </c>
      <c r="F1319" s="2">
        <v>0.0</v>
      </c>
      <c r="G1319" s="2">
        <v>0.0</v>
      </c>
      <c r="H1319" s="2">
        <v>0.0</v>
      </c>
    </row>
    <row r="1320" ht="14.25" customHeight="1">
      <c r="A1320" s="2" t="s">
        <v>137</v>
      </c>
      <c r="B1320" s="2" t="s">
        <v>208</v>
      </c>
      <c r="C1320" s="2" t="s">
        <v>16</v>
      </c>
      <c r="D1320" s="2">
        <v>0.0</v>
      </c>
      <c r="E1320" s="2">
        <v>0.0</v>
      </c>
      <c r="F1320" s="2">
        <v>0.0</v>
      </c>
      <c r="G1320" s="2">
        <v>0.0</v>
      </c>
      <c r="H1320" s="2">
        <v>0.0</v>
      </c>
    </row>
    <row r="1321" ht="14.25" customHeight="1">
      <c r="A1321" s="2" t="s">
        <v>137</v>
      </c>
      <c r="B1321" s="2" t="s">
        <v>208</v>
      </c>
      <c r="C1321" s="2" t="s">
        <v>17</v>
      </c>
      <c r="D1321" s="2">
        <v>0.0</v>
      </c>
      <c r="E1321" s="2">
        <v>0.0</v>
      </c>
      <c r="F1321" s="2">
        <v>0.0</v>
      </c>
      <c r="G1321" s="2">
        <v>0.0</v>
      </c>
      <c r="H1321" s="2">
        <v>0.0</v>
      </c>
    </row>
    <row r="1322" ht="14.25" customHeight="1">
      <c r="A1322" s="2" t="s">
        <v>137</v>
      </c>
      <c r="B1322" s="2" t="s">
        <v>11</v>
      </c>
      <c r="C1322" s="2" t="s">
        <v>10</v>
      </c>
      <c r="D1322" s="2">
        <v>933.8519313954589</v>
      </c>
      <c r="E1322" s="2">
        <v>2.55084230174023</v>
      </c>
      <c r="F1322" s="2">
        <v>15890.27242168646</v>
      </c>
      <c r="G1322" s="2">
        <v>15.28997825800994</v>
      </c>
      <c r="H1322" s="2">
        <v>0.6851662330859715</v>
      </c>
    </row>
    <row r="1323" ht="14.25" customHeight="1">
      <c r="A1323" s="2" t="s">
        <v>137</v>
      </c>
      <c r="B1323" s="2" t="s">
        <v>18</v>
      </c>
      <c r="C1323" s="2" t="s">
        <v>10</v>
      </c>
      <c r="D1323" s="2">
        <v>0.0</v>
      </c>
      <c r="E1323" s="2">
        <v>0.0</v>
      </c>
      <c r="F1323" s="2">
        <v>0.0</v>
      </c>
      <c r="G1323" s="2">
        <v>0.0</v>
      </c>
      <c r="H1323" s="2">
        <v>0.0</v>
      </c>
    </row>
    <row r="1324" ht="14.25" customHeight="1">
      <c r="A1324" s="2" t="s">
        <v>138</v>
      </c>
      <c r="B1324" s="2" t="s">
        <v>38</v>
      </c>
      <c r="C1324" s="2" t="s">
        <v>39</v>
      </c>
      <c r="D1324" s="2">
        <v>7.5798330413715</v>
      </c>
      <c r="E1324" s="2">
        <v>0.0373792731879</v>
      </c>
      <c r="F1324" s="2">
        <v>190.7497394059764</v>
      </c>
      <c r="G1324" s="2">
        <v>0.09575470319625</v>
      </c>
      <c r="H1324" s="2">
        <v>2.750653579606001E-4</v>
      </c>
    </row>
    <row r="1325" ht="14.25" customHeight="1">
      <c r="A1325" s="2" t="s">
        <v>138</v>
      </c>
      <c r="B1325" s="2" t="s">
        <v>38</v>
      </c>
      <c r="C1325" s="2" t="s">
        <v>39</v>
      </c>
      <c r="D1325" s="2">
        <v>21.31826762614826</v>
      </c>
      <c r="E1325" s="2">
        <v>0.8757165432599862</v>
      </c>
      <c r="F1325" s="2">
        <v>394.2035790820349</v>
      </c>
      <c r="G1325" s="2">
        <v>0.1775515601017376</v>
      </c>
      <c r="H1325" s="2">
        <v>7.885870477688178E-4</v>
      </c>
    </row>
    <row r="1326" ht="14.25" customHeight="1">
      <c r="A1326" s="2" t="s">
        <v>138</v>
      </c>
      <c r="B1326" s="2" t="s">
        <v>38</v>
      </c>
      <c r="C1326" s="2" t="s">
        <v>39</v>
      </c>
      <c r="D1326" s="2">
        <v>95.893511364</v>
      </c>
      <c r="E1326" s="2">
        <v>0.4756400126265</v>
      </c>
      <c r="F1326" s="2">
        <v>2423.548359883393</v>
      </c>
      <c r="G1326" s="2">
        <v>1.2244279434285</v>
      </c>
      <c r="H1326" s="2">
        <v>0.003516074688660001</v>
      </c>
    </row>
    <row r="1327" ht="14.25" customHeight="1">
      <c r="A1327" s="2" t="s">
        <v>138</v>
      </c>
      <c r="B1327" s="2" t="s">
        <v>38</v>
      </c>
      <c r="C1327" s="2" t="s">
        <v>39</v>
      </c>
      <c r="D1327" s="2">
        <v>82.16273</v>
      </c>
      <c r="E1327" s="2">
        <v>3.932665665</v>
      </c>
      <c r="F1327" s="2">
        <v>1204.262577</v>
      </c>
      <c r="G1327" s="2">
        <v>0.884119165</v>
      </c>
      <c r="H1327" s="2">
        <v>0.0048819</v>
      </c>
    </row>
    <row r="1328" ht="14.25" customHeight="1">
      <c r="A1328" s="2" t="s">
        <v>138</v>
      </c>
      <c r="B1328" s="2" t="s">
        <v>38</v>
      </c>
      <c r="C1328" s="2" t="s">
        <v>16</v>
      </c>
      <c r="D1328" s="2">
        <v>196.64619682176</v>
      </c>
      <c r="E1328" s="2">
        <v>2.5843438152</v>
      </c>
      <c r="F1328" s="2">
        <v>5132.46040994232</v>
      </c>
      <c r="G1328" s="2">
        <v>25.65768366932904</v>
      </c>
      <c r="H1328" s="2">
        <v>2.29327535329011</v>
      </c>
    </row>
    <row r="1329" ht="14.25" customHeight="1">
      <c r="A1329" s="2" t="s">
        <v>138</v>
      </c>
      <c r="B1329" s="2" t="s">
        <v>38</v>
      </c>
      <c r="C1329" s="2" t="s">
        <v>17</v>
      </c>
      <c r="D1329" s="2">
        <v>63.97224876</v>
      </c>
      <c r="E1329" s="2">
        <v>0.16771231785</v>
      </c>
      <c r="F1329" s="2">
        <v>2193.243234555</v>
      </c>
      <c r="G1329" s="2">
        <v>1.240964286</v>
      </c>
      <c r="H1329" s="2">
        <v>0.00397827882</v>
      </c>
    </row>
    <row r="1330" ht="14.25" customHeight="1">
      <c r="A1330" s="2" t="s">
        <v>138</v>
      </c>
      <c r="B1330" s="2" t="s">
        <v>211</v>
      </c>
      <c r="C1330" s="2" t="s">
        <v>39</v>
      </c>
      <c r="D1330" s="2">
        <v>0.0</v>
      </c>
      <c r="E1330" s="2">
        <v>0.0</v>
      </c>
      <c r="F1330" s="2">
        <v>0.0</v>
      </c>
      <c r="G1330" s="2">
        <v>0.0</v>
      </c>
      <c r="H1330" s="2">
        <v>0.0</v>
      </c>
    </row>
    <row r="1331" ht="14.25" customHeight="1">
      <c r="A1331" s="2" t="s">
        <v>138</v>
      </c>
      <c r="B1331" s="2" t="s">
        <v>211</v>
      </c>
      <c r="C1331" s="2" t="s">
        <v>39</v>
      </c>
      <c r="D1331" s="2">
        <v>0.0</v>
      </c>
      <c r="E1331" s="2">
        <v>0.0</v>
      </c>
      <c r="F1331" s="2">
        <v>0.0</v>
      </c>
      <c r="G1331" s="2">
        <v>0.0</v>
      </c>
      <c r="H1331" s="2">
        <v>0.0</v>
      </c>
    </row>
    <row r="1332" ht="14.25" customHeight="1">
      <c r="A1332" s="2" t="s">
        <v>138</v>
      </c>
      <c r="B1332" s="2" t="s">
        <v>211</v>
      </c>
      <c r="C1332" s="2" t="s">
        <v>39</v>
      </c>
      <c r="D1332" s="2">
        <v>0.0</v>
      </c>
      <c r="E1332" s="2">
        <v>0.0</v>
      </c>
      <c r="F1332" s="2">
        <v>0.0</v>
      </c>
      <c r="G1332" s="2">
        <v>0.0</v>
      </c>
      <c r="H1332" s="2">
        <v>0.0</v>
      </c>
    </row>
    <row r="1333" ht="14.25" customHeight="1">
      <c r="A1333" s="2" t="s">
        <v>138</v>
      </c>
      <c r="B1333" s="2" t="s">
        <v>211</v>
      </c>
      <c r="C1333" s="2" t="s">
        <v>39</v>
      </c>
      <c r="D1333" s="2">
        <v>0.0</v>
      </c>
      <c r="E1333" s="2">
        <v>0.0</v>
      </c>
      <c r="F1333" s="2">
        <v>0.0</v>
      </c>
      <c r="G1333" s="2">
        <v>0.0</v>
      </c>
      <c r="H1333" s="2">
        <v>0.0</v>
      </c>
    </row>
    <row r="1334" ht="14.25" customHeight="1">
      <c r="A1334" s="2" t="s">
        <v>138</v>
      </c>
      <c r="B1334" s="2" t="s">
        <v>211</v>
      </c>
      <c r="C1334" s="2" t="s">
        <v>16</v>
      </c>
      <c r="D1334" s="2">
        <v>0.0</v>
      </c>
      <c r="E1334" s="2">
        <v>0.0</v>
      </c>
      <c r="F1334" s="2">
        <v>0.0</v>
      </c>
      <c r="G1334" s="2">
        <v>0.0</v>
      </c>
      <c r="H1334" s="2">
        <v>0.0</v>
      </c>
    </row>
    <row r="1335" ht="14.25" customHeight="1">
      <c r="A1335" s="2" t="s">
        <v>138</v>
      </c>
      <c r="B1335" s="2" t="s">
        <v>211</v>
      </c>
      <c r="C1335" s="2" t="s">
        <v>17</v>
      </c>
      <c r="D1335" s="2">
        <v>0.0</v>
      </c>
      <c r="E1335" s="2">
        <v>0.0</v>
      </c>
      <c r="F1335" s="2">
        <v>0.0</v>
      </c>
      <c r="G1335" s="2">
        <v>0.0</v>
      </c>
      <c r="H1335" s="2">
        <v>0.0</v>
      </c>
    </row>
    <row r="1336" ht="14.25" customHeight="1">
      <c r="A1336" s="2" t="s">
        <v>138</v>
      </c>
      <c r="B1336" s="2" t="s">
        <v>38</v>
      </c>
      <c r="C1336" s="2" t="s">
        <v>10</v>
      </c>
      <c r="D1336" s="2">
        <v>467.5727876132798</v>
      </c>
      <c r="E1336" s="2">
        <v>8.073457627124386</v>
      </c>
      <c r="F1336" s="2">
        <v>11538.46789986872</v>
      </c>
      <c r="G1336" s="2">
        <v>29.28050132705553</v>
      </c>
      <c r="H1336" s="2">
        <v>2.306715259204499</v>
      </c>
    </row>
    <row r="1337" ht="14.25" customHeight="1">
      <c r="A1337" s="2" t="s">
        <v>138</v>
      </c>
      <c r="B1337" s="2" t="s">
        <v>18</v>
      </c>
      <c r="C1337" s="2" t="s">
        <v>10</v>
      </c>
      <c r="D1337" s="2">
        <v>0.0</v>
      </c>
      <c r="E1337" s="2">
        <v>0.0</v>
      </c>
      <c r="F1337" s="2">
        <v>0.0</v>
      </c>
      <c r="G1337" s="2">
        <v>0.0</v>
      </c>
      <c r="H1337" s="2">
        <v>0.0</v>
      </c>
    </row>
    <row r="1338" ht="14.25" customHeight="1">
      <c r="A1338" s="2" t="s">
        <v>139</v>
      </c>
      <c r="B1338" s="2" t="s">
        <v>23</v>
      </c>
      <c r="C1338" s="2" t="s">
        <v>24</v>
      </c>
      <c r="D1338" s="2">
        <v>2527.935876923392</v>
      </c>
      <c r="E1338" s="2">
        <v>2.95983562752</v>
      </c>
      <c r="F1338" s="2">
        <v>61353.28824215142</v>
      </c>
      <c r="G1338" s="2">
        <v>16.087208923136</v>
      </c>
      <c r="H1338" s="2">
        <v>0.293124183652352</v>
      </c>
    </row>
    <row r="1339" ht="14.25" customHeight="1">
      <c r="A1339" s="2" t="s">
        <v>139</v>
      </c>
      <c r="B1339" s="2" t="s">
        <v>23</v>
      </c>
      <c r="C1339" s="2" t="s">
        <v>24</v>
      </c>
      <c r="D1339" s="2">
        <v>109.744300224512</v>
      </c>
      <c r="E1339" s="2">
        <v>0.15638308096</v>
      </c>
      <c r="F1339" s="2">
        <v>3069.068732734464</v>
      </c>
      <c r="G1339" s="2">
        <v>0.973501284096</v>
      </c>
      <c r="H1339" s="2">
        <v>0.018125112678272</v>
      </c>
    </row>
    <row r="1340" ht="14.25" customHeight="1">
      <c r="A1340" s="2" t="s">
        <v>139</v>
      </c>
      <c r="B1340" s="2" t="s">
        <v>23</v>
      </c>
      <c r="C1340" s="2" t="s">
        <v>24</v>
      </c>
      <c r="D1340" s="2">
        <v>109.744300224512</v>
      </c>
      <c r="E1340" s="2">
        <v>0.15638308096</v>
      </c>
      <c r="F1340" s="2">
        <v>3069.068732734464</v>
      </c>
      <c r="G1340" s="2">
        <v>0.973501284096</v>
      </c>
      <c r="H1340" s="2">
        <v>0.018125112678272</v>
      </c>
    </row>
    <row r="1341" ht="14.25" customHeight="1">
      <c r="A1341" s="2" t="s">
        <v>139</v>
      </c>
      <c r="B1341" s="2" t="s">
        <v>23</v>
      </c>
      <c r="C1341" s="2" t="s">
        <v>25</v>
      </c>
      <c r="D1341" s="2">
        <v>112.107406353408</v>
      </c>
      <c r="E1341" s="2">
        <v>0.3830807808</v>
      </c>
      <c r="F1341" s="2">
        <v>2272.082550322176</v>
      </c>
      <c r="G1341" s="2">
        <v>1.462104670464</v>
      </c>
      <c r="H1341" s="2">
        <v>0.002830513304448</v>
      </c>
    </row>
    <row r="1342" ht="14.25" customHeight="1">
      <c r="A1342" s="2" t="s">
        <v>139</v>
      </c>
      <c r="B1342" s="2" t="s">
        <v>23</v>
      </c>
      <c r="C1342" s="2" t="s">
        <v>25</v>
      </c>
      <c r="D1342" s="2">
        <v>7.006712897088</v>
      </c>
      <c r="E1342" s="2">
        <v>0.0239425488</v>
      </c>
      <c r="F1342" s="2">
        <v>142.005159395136</v>
      </c>
      <c r="G1342" s="2">
        <v>0.091381541904</v>
      </c>
      <c r="H1342" s="2">
        <v>1.76907081528E-4</v>
      </c>
    </row>
    <row r="1343" ht="14.25" customHeight="1">
      <c r="A1343" s="2" t="s">
        <v>139</v>
      </c>
      <c r="B1343" s="2" t="s">
        <v>23</v>
      </c>
      <c r="C1343" s="2" t="s">
        <v>25</v>
      </c>
      <c r="D1343" s="2">
        <v>7.006712897088</v>
      </c>
      <c r="E1343" s="2">
        <v>0.0239425488</v>
      </c>
      <c r="F1343" s="2">
        <v>142.005159395136</v>
      </c>
      <c r="G1343" s="2">
        <v>0.091381541904</v>
      </c>
      <c r="H1343" s="2">
        <v>1.76907081528E-4</v>
      </c>
    </row>
    <row r="1344" ht="14.25" customHeight="1">
      <c r="A1344" s="2" t="s">
        <v>139</v>
      </c>
      <c r="B1344" s="2" t="s">
        <v>23</v>
      </c>
      <c r="C1344" s="2" t="s">
        <v>32</v>
      </c>
      <c r="D1344" s="2">
        <v>0.048640658076</v>
      </c>
      <c r="E1344" s="2">
        <v>1.5275349E-4</v>
      </c>
      <c r="F1344" s="2">
        <v>1.276131298632</v>
      </c>
      <c r="G1344" s="2">
        <v>8.12898573E-4</v>
      </c>
      <c r="H1344" s="2">
        <v>3.9273941985E-6</v>
      </c>
    </row>
    <row r="1345" ht="14.25" customHeight="1">
      <c r="A1345" s="2" t="s">
        <v>139</v>
      </c>
      <c r="B1345" s="2" t="s">
        <v>23</v>
      </c>
      <c r="C1345" s="2" t="s">
        <v>26</v>
      </c>
      <c r="D1345" s="2">
        <v>1.454237526989525</v>
      </c>
      <c r="E1345" s="2">
        <v>0.00413469260825</v>
      </c>
      <c r="F1345" s="2">
        <v>30.41812720688805</v>
      </c>
      <c r="G1345" s="2">
        <v>0.0215500911213875</v>
      </c>
      <c r="H1345" s="2">
        <v>1.012443210099938E-4</v>
      </c>
    </row>
    <row r="1346" ht="14.25" customHeight="1">
      <c r="A1346" s="2" t="s">
        <v>139</v>
      </c>
      <c r="B1346" s="2" t="s">
        <v>23</v>
      </c>
      <c r="C1346" s="2" t="s">
        <v>46</v>
      </c>
      <c r="D1346" s="2">
        <v>0.14118104676</v>
      </c>
      <c r="E1346" s="2">
        <v>0.00181234872</v>
      </c>
      <c r="F1346" s="2">
        <v>20.7987890136</v>
      </c>
      <c r="G1346" s="2">
        <v>0.00565822608</v>
      </c>
      <c r="H1346" s="2">
        <v>2.0480616E-5</v>
      </c>
    </row>
    <row r="1347" ht="14.25" customHeight="1">
      <c r="A1347" s="2" t="s">
        <v>139</v>
      </c>
      <c r="B1347" s="2" t="s">
        <v>23</v>
      </c>
      <c r="C1347" s="2" t="s">
        <v>33</v>
      </c>
      <c r="D1347" s="2">
        <v>41.2140055734</v>
      </c>
      <c r="E1347" s="2">
        <v>0.5290664148</v>
      </c>
      <c r="F1347" s="2">
        <v>6071.646485124</v>
      </c>
      <c r="G1347" s="2">
        <v>1.6517667672</v>
      </c>
      <c r="H1347" s="2">
        <v>0.00597876444</v>
      </c>
    </row>
    <row r="1348" ht="14.25" customHeight="1">
      <c r="A1348" s="2" t="s">
        <v>139</v>
      </c>
      <c r="B1348" s="2" t="s">
        <v>23</v>
      </c>
      <c r="C1348" s="2" t="s">
        <v>27</v>
      </c>
      <c r="D1348" s="2">
        <v>65.54873227392</v>
      </c>
      <c r="E1348" s="2">
        <v>0.8614479384</v>
      </c>
      <c r="F1348" s="2">
        <v>1710.82013664744</v>
      </c>
      <c r="G1348" s="2">
        <v>8.56307716866</v>
      </c>
      <c r="H1348" s="2">
        <v>0.76442511776337</v>
      </c>
    </row>
    <row r="1349" ht="14.25" customHeight="1">
      <c r="A1349" s="2" t="s">
        <v>139</v>
      </c>
      <c r="B1349" s="2" t="s">
        <v>23</v>
      </c>
      <c r="C1349" s="2" t="s">
        <v>28</v>
      </c>
      <c r="D1349" s="2">
        <v>4.619550348</v>
      </c>
      <c r="E1349" s="2">
        <v>0.0561045966</v>
      </c>
      <c r="F1349" s="2">
        <v>659.39259491</v>
      </c>
      <c r="G1349" s="2">
        <v>0.1793604145</v>
      </c>
      <c r="H1349" s="2">
        <v>6.32869846E-4</v>
      </c>
    </row>
    <row r="1350" ht="14.25" customHeight="1">
      <c r="A1350" s="2" t="s">
        <v>139</v>
      </c>
      <c r="B1350" s="2" t="s">
        <v>209</v>
      </c>
      <c r="C1350" s="2" t="s">
        <v>24</v>
      </c>
      <c r="D1350" s="2">
        <v>0.0</v>
      </c>
      <c r="E1350" s="2">
        <v>0.0</v>
      </c>
      <c r="F1350" s="2">
        <v>0.0</v>
      </c>
      <c r="G1350" s="2">
        <v>0.0</v>
      </c>
      <c r="H1350" s="2">
        <v>0.0</v>
      </c>
    </row>
    <row r="1351" ht="14.25" customHeight="1">
      <c r="A1351" s="2" t="s">
        <v>139</v>
      </c>
      <c r="B1351" s="2" t="s">
        <v>209</v>
      </c>
      <c r="C1351" s="2" t="s">
        <v>24</v>
      </c>
      <c r="D1351" s="2">
        <v>0.0</v>
      </c>
      <c r="E1351" s="2">
        <v>0.0</v>
      </c>
      <c r="F1351" s="2">
        <v>0.0</v>
      </c>
      <c r="G1351" s="2">
        <v>0.0</v>
      </c>
      <c r="H1351" s="2">
        <v>0.0</v>
      </c>
    </row>
    <row r="1352" ht="14.25" customHeight="1">
      <c r="A1352" s="2" t="s">
        <v>139</v>
      </c>
      <c r="B1352" s="2" t="s">
        <v>209</v>
      </c>
      <c r="C1352" s="2" t="s">
        <v>24</v>
      </c>
      <c r="D1352" s="2">
        <v>0.0</v>
      </c>
      <c r="E1352" s="2">
        <v>0.0</v>
      </c>
      <c r="F1352" s="2">
        <v>0.0</v>
      </c>
      <c r="G1352" s="2">
        <v>0.0</v>
      </c>
      <c r="H1352" s="2">
        <v>0.0</v>
      </c>
    </row>
    <row r="1353" ht="14.25" customHeight="1">
      <c r="A1353" s="2" t="s">
        <v>139</v>
      </c>
      <c r="B1353" s="2" t="s">
        <v>209</v>
      </c>
      <c r="C1353" s="2" t="s">
        <v>25</v>
      </c>
      <c r="D1353" s="2">
        <v>0.0</v>
      </c>
      <c r="E1353" s="2">
        <v>0.0</v>
      </c>
      <c r="F1353" s="2">
        <v>0.0</v>
      </c>
      <c r="G1353" s="2">
        <v>0.0</v>
      </c>
      <c r="H1353" s="2">
        <v>0.0</v>
      </c>
    </row>
    <row r="1354" ht="14.25" customHeight="1">
      <c r="A1354" s="2" t="s">
        <v>139</v>
      </c>
      <c r="B1354" s="2" t="s">
        <v>209</v>
      </c>
      <c r="C1354" s="2" t="s">
        <v>25</v>
      </c>
      <c r="D1354" s="2">
        <v>0.0</v>
      </c>
      <c r="E1354" s="2">
        <v>0.0</v>
      </c>
      <c r="F1354" s="2">
        <v>0.0</v>
      </c>
      <c r="G1354" s="2">
        <v>0.0</v>
      </c>
      <c r="H1354" s="2">
        <v>0.0</v>
      </c>
    </row>
    <row r="1355" ht="14.25" customHeight="1">
      <c r="A1355" s="2" t="s">
        <v>139</v>
      </c>
      <c r="B1355" s="2" t="s">
        <v>209</v>
      </c>
      <c r="C1355" s="2" t="s">
        <v>25</v>
      </c>
      <c r="D1355" s="2">
        <v>0.0</v>
      </c>
      <c r="E1355" s="2">
        <v>0.0</v>
      </c>
      <c r="F1355" s="2">
        <v>0.0</v>
      </c>
      <c r="G1355" s="2">
        <v>0.0</v>
      </c>
      <c r="H1355" s="2">
        <v>0.0</v>
      </c>
    </row>
    <row r="1356" ht="14.25" customHeight="1">
      <c r="A1356" s="2" t="s">
        <v>139</v>
      </c>
      <c r="B1356" s="2" t="s">
        <v>209</v>
      </c>
      <c r="C1356" s="2" t="s">
        <v>32</v>
      </c>
      <c r="D1356" s="2">
        <v>0.0</v>
      </c>
      <c r="E1356" s="2">
        <v>0.0</v>
      </c>
      <c r="F1356" s="2">
        <v>0.0</v>
      </c>
      <c r="G1356" s="2">
        <v>0.0</v>
      </c>
      <c r="H1356" s="2">
        <v>0.0</v>
      </c>
    </row>
    <row r="1357" ht="14.25" customHeight="1">
      <c r="A1357" s="2" t="s">
        <v>139</v>
      </c>
      <c r="B1357" s="2" t="s">
        <v>209</v>
      </c>
      <c r="C1357" s="2" t="s">
        <v>26</v>
      </c>
      <c r="D1357" s="2">
        <v>0.0</v>
      </c>
      <c r="E1357" s="2">
        <v>0.0</v>
      </c>
      <c r="F1357" s="2">
        <v>0.0</v>
      </c>
      <c r="G1357" s="2">
        <v>0.0</v>
      </c>
      <c r="H1357" s="2">
        <v>0.0</v>
      </c>
    </row>
    <row r="1358" ht="14.25" customHeight="1">
      <c r="A1358" s="2" t="s">
        <v>139</v>
      </c>
      <c r="B1358" s="2" t="s">
        <v>209</v>
      </c>
      <c r="C1358" s="2" t="s">
        <v>46</v>
      </c>
      <c r="D1358" s="2">
        <v>0.0</v>
      </c>
      <c r="E1358" s="2">
        <v>0.0</v>
      </c>
      <c r="F1358" s="2">
        <v>0.0</v>
      </c>
      <c r="G1358" s="2">
        <v>0.0</v>
      </c>
      <c r="H1358" s="2">
        <v>0.0</v>
      </c>
    </row>
    <row r="1359" ht="14.25" customHeight="1">
      <c r="A1359" s="2" t="s">
        <v>139</v>
      </c>
      <c r="B1359" s="2" t="s">
        <v>209</v>
      </c>
      <c r="C1359" s="2" t="s">
        <v>33</v>
      </c>
      <c r="D1359" s="2">
        <v>0.0</v>
      </c>
      <c r="E1359" s="2">
        <v>0.0</v>
      </c>
      <c r="F1359" s="2">
        <v>0.0</v>
      </c>
      <c r="G1359" s="2">
        <v>0.0</v>
      </c>
      <c r="H1359" s="2">
        <v>0.0</v>
      </c>
    </row>
    <row r="1360" ht="14.25" customHeight="1">
      <c r="A1360" s="2" t="s">
        <v>139</v>
      </c>
      <c r="B1360" s="2" t="s">
        <v>209</v>
      </c>
      <c r="C1360" s="2" t="s">
        <v>27</v>
      </c>
      <c r="D1360" s="2">
        <v>0.0</v>
      </c>
      <c r="E1360" s="2">
        <v>0.0</v>
      </c>
      <c r="F1360" s="2">
        <v>0.0</v>
      </c>
      <c r="G1360" s="2">
        <v>0.0</v>
      </c>
      <c r="H1360" s="2">
        <v>0.0</v>
      </c>
    </row>
    <row r="1361" ht="14.25" customHeight="1">
      <c r="A1361" s="2" t="s">
        <v>139</v>
      </c>
      <c r="B1361" s="2" t="s">
        <v>209</v>
      </c>
      <c r="C1361" s="2" t="s">
        <v>28</v>
      </c>
      <c r="D1361" s="2">
        <v>0.0</v>
      </c>
      <c r="E1361" s="2">
        <v>0.0</v>
      </c>
      <c r="F1361" s="2">
        <v>0.0</v>
      </c>
      <c r="G1361" s="2">
        <v>0.0</v>
      </c>
      <c r="H1361" s="2">
        <v>0.0</v>
      </c>
    </row>
    <row r="1362" ht="14.25" customHeight="1">
      <c r="A1362" s="2" t="s">
        <v>139</v>
      </c>
      <c r="B1362" s="2" t="s">
        <v>23</v>
      </c>
      <c r="C1362" s="2" t="s">
        <v>10</v>
      </c>
      <c r="D1362" s="2">
        <v>2986.571656947146</v>
      </c>
      <c r="E1362" s="2">
        <v>5.15628641245825</v>
      </c>
      <c r="F1362" s="2">
        <v>78541.87084093336</v>
      </c>
      <c r="G1362" s="2">
        <v>30.10130481173439</v>
      </c>
      <c r="H1362" s="2">
        <v>1.103721140856978</v>
      </c>
    </row>
    <row r="1363" ht="14.25" customHeight="1">
      <c r="A1363" s="2" t="s">
        <v>139</v>
      </c>
      <c r="B1363" s="2" t="s">
        <v>29</v>
      </c>
      <c r="C1363" s="2" t="s">
        <v>10</v>
      </c>
      <c r="D1363" s="2">
        <v>0.0</v>
      </c>
      <c r="E1363" s="2">
        <v>0.0</v>
      </c>
      <c r="F1363" s="2">
        <v>0.0</v>
      </c>
      <c r="G1363" s="2">
        <v>0.0</v>
      </c>
      <c r="H1363" s="2">
        <v>0.0</v>
      </c>
    </row>
    <row r="1364" ht="14.25" customHeight="1">
      <c r="A1364" s="2" t="s">
        <v>139</v>
      </c>
      <c r="B1364" s="2" t="s">
        <v>18</v>
      </c>
      <c r="C1364" s="2" t="s">
        <v>10</v>
      </c>
      <c r="D1364" s="2">
        <v>0.0</v>
      </c>
      <c r="E1364" s="2">
        <v>0.0</v>
      </c>
      <c r="F1364" s="2">
        <v>0.0</v>
      </c>
      <c r="G1364" s="2">
        <v>0.0</v>
      </c>
      <c r="H1364" s="2">
        <v>0.0</v>
      </c>
    </row>
    <row r="1365" ht="14.25" customHeight="1">
      <c r="A1365" s="2" t="s">
        <v>140</v>
      </c>
      <c r="B1365" s="2" t="s">
        <v>53</v>
      </c>
      <c r="C1365" s="2" t="s">
        <v>54</v>
      </c>
      <c r="D1365" s="2">
        <v>49.73976106848</v>
      </c>
      <c r="E1365" s="2">
        <v>0.5875966032</v>
      </c>
      <c r="F1365" s="2">
        <v>559.05116957856</v>
      </c>
      <c r="G1365" s="2">
        <v>0.30358545384</v>
      </c>
      <c r="H1365" s="2">
        <v>0.00121612113588</v>
      </c>
    </row>
    <row r="1366" ht="14.25" customHeight="1">
      <c r="A1366" s="2" t="s">
        <v>140</v>
      </c>
      <c r="B1366" s="2" t="s">
        <v>53</v>
      </c>
      <c r="C1366" s="2" t="s">
        <v>128</v>
      </c>
      <c r="D1366" s="2">
        <v>0.09412069784</v>
      </c>
      <c r="E1366" s="2">
        <v>0.00120823248</v>
      </c>
      <c r="F1366" s="2">
        <v>13.8658593424</v>
      </c>
      <c r="G1366" s="2">
        <v>0.00377215072</v>
      </c>
      <c r="H1366" s="2">
        <v>1.3653744E-5</v>
      </c>
    </row>
    <row r="1367" ht="14.25" customHeight="1">
      <c r="A1367" s="2" t="s">
        <v>140</v>
      </c>
      <c r="B1367" s="2" t="s">
        <v>53</v>
      </c>
      <c r="C1367" s="2" t="s">
        <v>122</v>
      </c>
      <c r="D1367" s="2">
        <v>0.4427175272</v>
      </c>
      <c r="E1367" s="2">
        <v>0.00108312256</v>
      </c>
      <c r="F1367" s="2">
        <v>11.4983446344</v>
      </c>
      <c r="G1367" s="2">
        <v>0.00862101864</v>
      </c>
      <c r="H1367" s="2">
        <v>3.3015736E-5</v>
      </c>
    </row>
    <row r="1368" ht="14.25" customHeight="1">
      <c r="A1368" s="2" t="s">
        <v>140</v>
      </c>
      <c r="B1368" s="2" t="s">
        <v>53</v>
      </c>
      <c r="C1368" s="2" t="s">
        <v>124</v>
      </c>
      <c r="D1368" s="2">
        <v>1.298366721288</v>
      </c>
      <c r="E1368" s="2">
        <v>0.017195367672</v>
      </c>
      <c r="F1368" s="2">
        <v>34.0061201424</v>
      </c>
      <c r="G1368" s="2">
        <v>0.170938728576</v>
      </c>
      <c r="H1368" s="2">
        <v>0.015288421176</v>
      </c>
    </row>
    <row r="1369" ht="14.25" customHeight="1">
      <c r="A1369" s="2" t="s">
        <v>140</v>
      </c>
      <c r="B1369" s="2" t="s">
        <v>53</v>
      </c>
      <c r="C1369" s="2" t="s">
        <v>55</v>
      </c>
      <c r="D1369" s="2">
        <v>0.09239100696</v>
      </c>
      <c r="E1369" s="2">
        <v>0.001122091932</v>
      </c>
      <c r="F1369" s="2">
        <v>13.1878518982</v>
      </c>
      <c r="G1369" s="2">
        <v>0.00358720829</v>
      </c>
      <c r="H1369" s="2">
        <v>1.265739692E-5</v>
      </c>
    </row>
    <row r="1370" ht="14.25" customHeight="1">
      <c r="A1370" s="2" t="s">
        <v>140</v>
      </c>
      <c r="B1370" s="2" t="s">
        <v>213</v>
      </c>
      <c r="C1370" s="2" t="s">
        <v>54</v>
      </c>
      <c r="D1370" s="2">
        <v>0.0</v>
      </c>
      <c r="E1370" s="2">
        <v>0.0</v>
      </c>
      <c r="F1370" s="2">
        <v>0.0</v>
      </c>
      <c r="G1370" s="2">
        <v>0.0</v>
      </c>
      <c r="H1370" s="2">
        <v>0.0</v>
      </c>
    </row>
    <row r="1371" ht="14.25" customHeight="1">
      <c r="A1371" s="2" t="s">
        <v>140</v>
      </c>
      <c r="B1371" s="2" t="s">
        <v>213</v>
      </c>
      <c r="C1371" s="2" t="s">
        <v>128</v>
      </c>
      <c r="D1371" s="2">
        <v>0.0</v>
      </c>
      <c r="E1371" s="2">
        <v>0.0</v>
      </c>
      <c r="F1371" s="2">
        <v>0.0</v>
      </c>
      <c r="G1371" s="2">
        <v>0.0</v>
      </c>
      <c r="H1371" s="2">
        <v>0.0</v>
      </c>
    </row>
    <row r="1372" ht="14.25" customHeight="1">
      <c r="A1372" s="2" t="s">
        <v>140</v>
      </c>
      <c r="B1372" s="2" t="s">
        <v>213</v>
      </c>
      <c r="C1372" s="2" t="s">
        <v>122</v>
      </c>
      <c r="D1372" s="2">
        <v>0.0</v>
      </c>
      <c r="E1372" s="2">
        <v>0.0</v>
      </c>
      <c r="F1372" s="2">
        <v>0.0</v>
      </c>
      <c r="G1372" s="2">
        <v>0.0</v>
      </c>
      <c r="H1372" s="2">
        <v>0.0</v>
      </c>
    </row>
    <row r="1373" ht="14.25" customHeight="1">
      <c r="A1373" s="2" t="s">
        <v>140</v>
      </c>
      <c r="B1373" s="2" t="s">
        <v>213</v>
      </c>
      <c r="C1373" s="2" t="s">
        <v>124</v>
      </c>
      <c r="D1373" s="2">
        <v>0.0</v>
      </c>
      <c r="E1373" s="2">
        <v>0.0</v>
      </c>
      <c r="F1373" s="2">
        <v>0.0</v>
      </c>
      <c r="G1373" s="2">
        <v>0.0</v>
      </c>
      <c r="H1373" s="2">
        <v>0.0</v>
      </c>
    </row>
    <row r="1374" ht="14.25" customHeight="1">
      <c r="A1374" s="2" t="s">
        <v>140</v>
      </c>
      <c r="B1374" s="2" t="s">
        <v>213</v>
      </c>
      <c r="C1374" s="2" t="s">
        <v>55</v>
      </c>
      <c r="D1374" s="2">
        <v>0.0</v>
      </c>
      <c r="E1374" s="2">
        <v>0.0</v>
      </c>
      <c r="F1374" s="2">
        <v>0.0</v>
      </c>
      <c r="G1374" s="2">
        <v>0.0</v>
      </c>
      <c r="H1374" s="2">
        <v>0.0</v>
      </c>
    </row>
    <row r="1375" ht="14.25" customHeight="1">
      <c r="A1375" s="2" t="s">
        <v>140</v>
      </c>
      <c r="B1375" s="2" t="s">
        <v>53</v>
      </c>
      <c r="C1375" s="2" t="s">
        <v>10</v>
      </c>
      <c r="D1375" s="2">
        <v>51.667357021768</v>
      </c>
      <c r="E1375" s="2">
        <v>0.608205417844</v>
      </c>
      <c r="F1375" s="2">
        <v>631.60934559596</v>
      </c>
      <c r="G1375" s="2">
        <v>0.490504560066</v>
      </c>
      <c r="H1375" s="2">
        <v>0.0165638691888</v>
      </c>
    </row>
    <row r="1376" ht="14.25" customHeight="1">
      <c r="A1376" s="2" t="s">
        <v>140</v>
      </c>
      <c r="B1376" s="2" t="s">
        <v>18</v>
      </c>
      <c r="C1376" s="2" t="s">
        <v>10</v>
      </c>
      <c r="D1376" s="2">
        <v>0.0</v>
      </c>
      <c r="E1376" s="2">
        <v>0.0</v>
      </c>
      <c r="F1376" s="2">
        <v>0.0</v>
      </c>
      <c r="G1376" s="2">
        <v>0.0</v>
      </c>
      <c r="H1376" s="2">
        <v>0.0</v>
      </c>
    </row>
    <row r="1377" ht="14.25" customHeight="1">
      <c r="A1377" s="2" t="s">
        <v>141</v>
      </c>
      <c r="B1377" s="2" t="s">
        <v>141</v>
      </c>
      <c r="C1377" s="2" t="s">
        <v>142</v>
      </c>
      <c r="D1377" s="2">
        <v>233.5001952</v>
      </c>
      <c r="E1377" s="2">
        <v>0.191977536</v>
      </c>
      <c r="F1377" s="2">
        <v>6571.8839568</v>
      </c>
      <c r="G1377" s="2">
        <v>2.877274272</v>
      </c>
      <c r="H1377" s="2">
        <v>0.0011897472</v>
      </c>
    </row>
    <row r="1378" ht="14.25" customHeight="1">
      <c r="A1378" s="2" t="s">
        <v>141</v>
      </c>
      <c r="B1378" s="2" t="s">
        <v>141</v>
      </c>
      <c r="C1378" s="2" t="s">
        <v>143</v>
      </c>
      <c r="D1378" s="2">
        <v>0.0</v>
      </c>
      <c r="E1378" s="2">
        <v>0.0</v>
      </c>
      <c r="F1378" s="2">
        <v>0.0</v>
      </c>
      <c r="G1378" s="2">
        <v>0.0</v>
      </c>
      <c r="H1378" s="2">
        <v>0.0</v>
      </c>
    </row>
    <row r="1379" ht="14.25" customHeight="1">
      <c r="A1379" s="2" t="s">
        <v>141</v>
      </c>
      <c r="B1379" s="2" t="s">
        <v>223</v>
      </c>
      <c r="C1379" s="2" t="s">
        <v>142</v>
      </c>
      <c r="D1379" s="2">
        <v>0.0</v>
      </c>
      <c r="E1379" s="2">
        <v>0.0</v>
      </c>
      <c r="F1379" s="2">
        <v>0.0</v>
      </c>
      <c r="G1379" s="2">
        <v>0.0</v>
      </c>
      <c r="H1379" s="2">
        <v>0.0</v>
      </c>
    </row>
    <row r="1380" ht="14.25" customHeight="1">
      <c r="A1380" s="2" t="s">
        <v>141</v>
      </c>
      <c r="B1380" s="2" t="s">
        <v>223</v>
      </c>
      <c r="C1380" s="2" t="s">
        <v>143</v>
      </c>
      <c r="D1380" s="2">
        <v>0.0</v>
      </c>
      <c r="E1380" s="2">
        <v>0.0</v>
      </c>
      <c r="F1380" s="2">
        <v>0.0</v>
      </c>
      <c r="G1380" s="2">
        <v>0.0</v>
      </c>
      <c r="H1380" s="2">
        <v>0.0</v>
      </c>
    </row>
    <row r="1381" ht="14.25" customHeight="1">
      <c r="A1381" s="2" t="s">
        <v>141</v>
      </c>
      <c r="B1381" s="2" t="s">
        <v>141</v>
      </c>
      <c r="C1381" s="2" t="s">
        <v>10</v>
      </c>
      <c r="D1381" s="2">
        <v>233.5001952</v>
      </c>
      <c r="E1381" s="2">
        <v>0.191977536</v>
      </c>
      <c r="F1381" s="2">
        <v>6571.8839568</v>
      </c>
      <c r="G1381" s="2">
        <v>2.877274272</v>
      </c>
      <c r="H1381" s="2">
        <v>0.0011897472</v>
      </c>
    </row>
    <row r="1382" ht="14.25" customHeight="1">
      <c r="A1382" s="2" t="s">
        <v>141</v>
      </c>
      <c r="B1382" s="2" t="s">
        <v>18</v>
      </c>
      <c r="C1382" s="2" t="s">
        <v>10</v>
      </c>
      <c r="D1382" s="2">
        <v>0.0</v>
      </c>
      <c r="E1382" s="2">
        <v>0.0</v>
      </c>
      <c r="F1382" s="2">
        <v>0.0</v>
      </c>
      <c r="G1382" s="2">
        <v>0.0</v>
      </c>
      <c r="H1382" s="2">
        <v>0.0</v>
      </c>
    </row>
    <row r="1383" ht="14.25" customHeight="1">
      <c r="A1383" s="2" t="s">
        <v>144</v>
      </c>
      <c r="B1383" s="2" t="s">
        <v>145</v>
      </c>
      <c r="C1383" s="2" t="s">
        <v>146</v>
      </c>
      <c r="D1383" s="2">
        <v>421.9051214330627</v>
      </c>
      <c r="E1383" s="2">
        <v>0.7910202107338417</v>
      </c>
      <c r="F1383" s="2">
        <v>12518.79416865228</v>
      </c>
      <c r="G1383" s="2">
        <v>4.355755093833328</v>
      </c>
      <c r="H1383" s="2">
        <v>0.01037782429648105</v>
      </c>
    </row>
    <row r="1384" ht="14.25" customHeight="1">
      <c r="A1384" s="2" t="s">
        <v>144</v>
      </c>
      <c r="B1384" s="2" t="s">
        <v>145</v>
      </c>
      <c r="C1384" s="2" t="s">
        <v>147</v>
      </c>
      <c r="D1384" s="2">
        <v>116.6040917284066</v>
      </c>
      <c r="E1384" s="2">
        <v>1.128224624725589</v>
      </c>
      <c r="F1384" s="2">
        <v>1524.803427901813</v>
      </c>
      <c r="G1384" s="2">
        <v>0.7243639225477562</v>
      </c>
      <c r="H1384" s="2">
        <v>0.002881774201759109</v>
      </c>
    </row>
    <row r="1385" ht="14.25" customHeight="1">
      <c r="A1385" s="2" t="s">
        <v>144</v>
      </c>
      <c r="B1385" s="2" t="s">
        <v>145</v>
      </c>
      <c r="C1385" s="2" t="s">
        <v>16</v>
      </c>
      <c r="D1385" s="2">
        <v>72.103605501312</v>
      </c>
      <c r="E1385" s="2">
        <v>0.94759273224</v>
      </c>
      <c r="F1385" s="2">
        <v>1881.902150312184</v>
      </c>
      <c r="G1385" s="2">
        <v>9.407817345420648</v>
      </c>
      <c r="H1385" s="2">
        <v>0.840867629539707</v>
      </c>
    </row>
    <row r="1386" ht="14.25" customHeight="1">
      <c r="A1386" s="2" t="s">
        <v>144</v>
      </c>
      <c r="B1386" s="2" t="s">
        <v>145</v>
      </c>
      <c r="C1386" s="2" t="s">
        <v>17</v>
      </c>
      <c r="D1386" s="2">
        <v>20.758740882</v>
      </c>
      <c r="E1386" s="2">
        <v>0.04735905306</v>
      </c>
      <c r="F1386" s="2">
        <v>644.323235281</v>
      </c>
      <c r="G1386" s="2">
        <v>0.10629449435</v>
      </c>
      <c r="H1386" s="2">
        <v>5.330365106E-4</v>
      </c>
    </row>
    <row r="1387" ht="14.25" customHeight="1">
      <c r="A1387" s="2" t="s">
        <v>144</v>
      </c>
      <c r="B1387" s="2" t="s">
        <v>224</v>
      </c>
      <c r="C1387" s="2" t="s">
        <v>146</v>
      </c>
      <c r="D1387" s="2">
        <v>0.0</v>
      </c>
      <c r="E1387" s="2">
        <v>0.0</v>
      </c>
      <c r="F1387" s="2">
        <v>0.0</v>
      </c>
      <c r="G1387" s="2">
        <v>0.0</v>
      </c>
      <c r="H1387" s="2">
        <v>0.0</v>
      </c>
    </row>
    <row r="1388" ht="14.25" customHeight="1">
      <c r="A1388" s="2" t="s">
        <v>144</v>
      </c>
      <c r="B1388" s="2" t="s">
        <v>224</v>
      </c>
      <c r="C1388" s="2" t="s">
        <v>147</v>
      </c>
      <c r="D1388" s="2">
        <v>0.0</v>
      </c>
      <c r="E1388" s="2">
        <v>0.0</v>
      </c>
      <c r="F1388" s="2">
        <v>0.0</v>
      </c>
      <c r="G1388" s="2">
        <v>0.0</v>
      </c>
      <c r="H1388" s="2">
        <v>0.0</v>
      </c>
    </row>
    <row r="1389" ht="14.25" customHeight="1">
      <c r="A1389" s="2" t="s">
        <v>144</v>
      </c>
      <c r="B1389" s="2" t="s">
        <v>224</v>
      </c>
      <c r="C1389" s="2" t="s">
        <v>16</v>
      </c>
      <c r="D1389" s="2">
        <v>0.0</v>
      </c>
      <c r="E1389" s="2">
        <v>0.0</v>
      </c>
      <c r="F1389" s="2">
        <v>0.0</v>
      </c>
      <c r="G1389" s="2">
        <v>0.0</v>
      </c>
      <c r="H1389" s="2">
        <v>0.0</v>
      </c>
    </row>
    <row r="1390" ht="14.25" customHeight="1">
      <c r="A1390" s="2" t="s">
        <v>144</v>
      </c>
      <c r="B1390" s="2" t="s">
        <v>224</v>
      </c>
      <c r="C1390" s="2" t="s">
        <v>17</v>
      </c>
      <c r="D1390" s="2">
        <v>0.0</v>
      </c>
      <c r="E1390" s="2">
        <v>0.0</v>
      </c>
      <c r="F1390" s="2">
        <v>0.0</v>
      </c>
      <c r="G1390" s="2">
        <v>0.0</v>
      </c>
      <c r="H1390" s="2">
        <v>0.0</v>
      </c>
    </row>
    <row r="1391" ht="14.25" customHeight="1">
      <c r="A1391" s="2" t="s">
        <v>144</v>
      </c>
      <c r="B1391" s="2" t="s">
        <v>145</v>
      </c>
      <c r="C1391" s="2" t="s">
        <v>10</v>
      </c>
      <c r="D1391" s="2">
        <v>631.3715595447813</v>
      </c>
      <c r="E1391" s="2">
        <v>2.914196620759431</v>
      </c>
      <c r="F1391" s="2">
        <v>16569.82298214728</v>
      </c>
      <c r="G1391" s="2">
        <v>14.59423085615173</v>
      </c>
      <c r="H1391" s="2">
        <v>0.8546602645485472</v>
      </c>
    </row>
    <row r="1392" ht="14.25" customHeight="1">
      <c r="A1392" s="2" t="s">
        <v>144</v>
      </c>
      <c r="B1392" s="2" t="s">
        <v>148</v>
      </c>
      <c r="C1392" s="2" t="s">
        <v>10</v>
      </c>
      <c r="D1392" s="2">
        <v>0.0</v>
      </c>
      <c r="E1392" s="2">
        <v>0.0</v>
      </c>
      <c r="F1392" s="2">
        <v>0.0</v>
      </c>
      <c r="G1392" s="2">
        <v>0.0</v>
      </c>
      <c r="H1392" s="2">
        <v>0.0</v>
      </c>
    </row>
    <row r="1393" ht="14.25" customHeight="1">
      <c r="A1393" s="2" t="s">
        <v>144</v>
      </c>
      <c r="B1393" s="2" t="s">
        <v>18</v>
      </c>
      <c r="C1393" s="2" t="s">
        <v>10</v>
      </c>
      <c r="D1393" s="2">
        <v>0.0</v>
      </c>
      <c r="E1393" s="2">
        <v>0.0</v>
      </c>
      <c r="F1393" s="2">
        <v>0.0</v>
      </c>
      <c r="G1393" s="2">
        <v>0.0</v>
      </c>
      <c r="H1393" s="2">
        <v>0.0</v>
      </c>
    </row>
    <row r="1394" ht="14.25" customHeight="1">
      <c r="A1394" s="2" t="s">
        <v>149</v>
      </c>
      <c r="B1394" s="2" t="s">
        <v>145</v>
      </c>
      <c r="C1394" s="2" t="s">
        <v>146</v>
      </c>
      <c r="D1394" s="2">
        <v>277.1774030847338</v>
      </c>
      <c r="E1394" s="2">
        <v>0.15117739748278</v>
      </c>
      <c r="F1394" s="2">
        <v>4098.970169195029</v>
      </c>
      <c r="G1394" s="2">
        <v>2.4503848448874</v>
      </c>
      <c r="H1394" s="2">
        <v>0.01046788435169902</v>
      </c>
    </row>
    <row r="1395" ht="14.25" customHeight="1">
      <c r="A1395" s="2" t="s">
        <v>149</v>
      </c>
      <c r="B1395" s="2" t="s">
        <v>145</v>
      </c>
      <c r="C1395" s="2" t="s">
        <v>146</v>
      </c>
      <c r="D1395" s="2">
        <v>29.58912687488756</v>
      </c>
      <c r="E1395" s="2">
        <v>0.064693017908236</v>
      </c>
      <c r="F1395" s="2">
        <v>832.635087996756</v>
      </c>
      <c r="G1395" s="2">
        <v>0.38187301653388</v>
      </c>
      <c r="H1395" s="2">
        <v>0.001145209158442924</v>
      </c>
    </row>
    <row r="1396" ht="14.25" customHeight="1">
      <c r="A1396" s="2" t="s">
        <v>149</v>
      </c>
      <c r="B1396" s="2" t="s">
        <v>145</v>
      </c>
      <c r="C1396" s="2" t="s">
        <v>146</v>
      </c>
      <c r="D1396" s="2">
        <v>355.2371036006383</v>
      </c>
      <c r="E1396" s="2">
        <v>0.193700902069992</v>
      </c>
      <c r="F1396" s="2">
        <v>5253.291462267138</v>
      </c>
      <c r="G1396" s="2">
        <v>3.14064061174536</v>
      </c>
      <c r="H1396" s="2">
        <v>0.01341665207545553</v>
      </c>
    </row>
    <row r="1397" ht="14.25" customHeight="1">
      <c r="A1397" s="2" t="s">
        <v>149</v>
      </c>
      <c r="B1397" s="2" t="s">
        <v>145</v>
      </c>
      <c r="C1397" s="2" t="s">
        <v>146</v>
      </c>
      <c r="D1397" s="2">
        <v>19.26171980670408</v>
      </c>
      <c r="E1397" s="2">
        <v>0.055759183802248</v>
      </c>
      <c r="F1397" s="2">
        <v>395.2432760809695</v>
      </c>
      <c r="G1397" s="2">
        <v>0.26458001275384</v>
      </c>
      <c r="H1397" s="2">
        <v>0.002080072406986632</v>
      </c>
    </row>
    <row r="1398" ht="14.25" customHeight="1">
      <c r="A1398" s="2" t="s">
        <v>149</v>
      </c>
      <c r="B1398" s="2" t="s">
        <v>145</v>
      </c>
      <c r="C1398" s="2" t="s">
        <v>146</v>
      </c>
      <c r="D1398" s="2">
        <v>71.05200670184367</v>
      </c>
      <c r="E1398" s="2">
        <v>0.0387523898935984</v>
      </c>
      <c r="F1398" s="2">
        <v>1050.734664266716</v>
      </c>
      <c r="G1398" s="2">
        <v>0.628136778217072</v>
      </c>
      <c r="H1398" s="2">
        <v>0.002683359855287505</v>
      </c>
    </row>
    <row r="1399" ht="14.25" customHeight="1">
      <c r="A1399" s="2" t="s">
        <v>149</v>
      </c>
      <c r="B1399" s="2" t="s">
        <v>145</v>
      </c>
      <c r="C1399" s="2" t="s">
        <v>146</v>
      </c>
      <c r="D1399" s="2">
        <v>3.861515924772816</v>
      </c>
      <c r="E1399" s="2">
        <v>0.0111762557196496</v>
      </c>
      <c r="F1399" s="2">
        <v>79.20139884276989</v>
      </c>
      <c r="G1399" s="2">
        <v>0.052933314286768</v>
      </c>
      <c r="H1399" s="2">
        <v>4.160733617901264E-4</v>
      </c>
    </row>
    <row r="1400" ht="14.25" customHeight="1">
      <c r="A1400" s="2" t="s">
        <v>149</v>
      </c>
      <c r="B1400" s="2" t="s">
        <v>145</v>
      </c>
      <c r="C1400" s="2" t="s">
        <v>146</v>
      </c>
      <c r="D1400" s="2">
        <v>88.7209241857948</v>
      </c>
      <c r="E1400" s="2">
        <v>0.04838313653188</v>
      </c>
      <c r="F1400" s="2">
        <v>1312.021671737027</v>
      </c>
      <c r="G1400" s="2">
        <v>0.7843590462404</v>
      </c>
      <c r="H1400" s="2">
        <v>0.00335073600777092</v>
      </c>
    </row>
    <row r="1401" ht="14.25" customHeight="1">
      <c r="A1401" s="2" t="s">
        <v>149</v>
      </c>
      <c r="B1401" s="2" t="s">
        <v>145</v>
      </c>
      <c r="C1401" s="2" t="s">
        <v>147</v>
      </c>
      <c r="D1401" s="2">
        <v>116.6017987375486</v>
      </c>
      <c r="E1401" s="2">
        <v>1.128218519985789</v>
      </c>
      <c r="F1401" s="2">
        <v>1524.765241995169</v>
      </c>
      <c r="G1401" s="2">
        <v>0.7243595946137562</v>
      </c>
      <c r="H1401" s="2">
        <v>0.002881759481660909</v>
      </c>
    </row>
    <row r="1402" ht="14.25" customHeight="1">
      <c r="A1402" s="2" t="s">
        <v>149</v>
      </c>
      <c r="B1402" s="2" t="s">
        <v>145</v>
      </c>
      <c r="C1402" s="2" t="s">
        <v>16</v>
      </c>
      <c r="D1402" s="2">
        <v>72.10934844326135</v>
      </c>
      <c r="E1402" s="2">
        <v>0.947606679219816</v>
      </c>
      <c r="F1402" s="2">
        <v>1881.980254485889</v>
      </c>
      <c r="G1402" s="2">
        <v>9.419987966927076</v>
      </c>
      <c r="H1402" s="2">
        <v>0.8408676531323431</v>
      </c>
    </row>
    <row r="1403" ht="14.25" customHeight="1">
      <c r="A1403" s="2" t="s">
        <v>149</v>
      </c>
      <c r="B1403" s="2" t="s">
        <v>145</v>
      </c>
      <c r="C1403" s="2" t="s">
        <v>17</v>
      </c>
      <c r="D1403" s="2">
        <v>20.758740882</v>
      </c>
      <c r="E1403" s="2">
        <v>0.04735905306</v>
      </c>
      <c r="F1403" s="2">
        <v>644.323235281</v>
      </c>
      <c r="G1403" s="2">
        <v>0.10629449435</v>
      </c>
      <c r="H1403" s="2">
        <v>5.330365106E-4</v>
      </c>
    </row>
    <row r="1404" ht="14.25" customHeight="1">
      <c r="A1404" s="2" t="s">
        <v>149</v>
      </c>
      <c r="B1404" s="2" t="s">
        <v>224</v>
      </c>
      <c r="C1404" s="2" t="s">
        <v>146</v>
      </c>
      <c r="D1404" s="2">
        <v>0.0</v>
      </c>
      <c r="E1404" s="2">
        <v>0.0</v>
      </c>
      <c r="F1404" s="2">
        <v>0.0</v>
      </c>
      <c r="G1404" s="2">
        <v>0.0</v>
      </c>
      <c r="H1404" s="2">
        <v>0.0</v>
      </c>
    </row>
    <row r="1405" ht="14.25" customHeight="1">
      <c r="A1405" s="2" t="s">
        <v>149</v>
      </c>
      <c r="B1405" s="2" t="s">
        <v>224</v>
      </c>
      <c r="C1405" s="2" t="s">
        <v>146</v>
      </c>
      <c r="D1405" s="2">
        <v>0.0</v>
      </c>
      <c r="E1405" s="2">
        <v>0.0</v>
      </c>
      <c r="F1405" s="2">
        <v>0.0</v>
      </c>
      <c r="G1405" s="2">
        <v>0.0</v>
      </c>
      <c r="H1405" s="2">
        <v>0.0</v>
      </c>
    </row>
    <row r="1406" ht="14.25" customHeight="1">
      <c r="A1406" s="2" t="s">
        <v>149</v>
      </c>
      <c r="B1406" s="2" t="s">
        <v>224</v>
      </c>
      <c r="C1406" s="2" t="s">
        <v>146</v>
      </c>
      <c r="D1406" s="2">
        <v>0.0</v>
      </c>
      <c r="E1406" s="2">
        <v>0.0</v>
      </c>
      <c r="F1406" s="2">
        <v>0.0</v>
      </c>
      <c r="G1406" s="2">
        <v>0.0</v>
      </c>
      <c r="H1406" s="2">
        <v>0.0</v>
      </c>
    </row>
    <row r="1407" ht="14.25" customHeight="1">
      <c r="A1407" s="2" t="s">
        <v>149</v>
      </c>
      <c r="B1407" s="2" t="s">
        <v>224</v>
      </c>
      <c r="C1407" s="2" t="s">
        <v>146</v>
      </c>
      <c r="D1407" s="2">
        <v>0.0</v>
      </c>
      <c r="E1407" s="2">
        <v>0.0</v>
      </c>
      <c r="F1407" s="2">
        <v>0.0</v>
      </c>
      <c r="G1407" s="2">
        <v>0.0</v>
      </c>
      <c r="H1407" s="2">
        <v>0.0</v>
      </c>
    </row>
    <row r="1408" ht="14.25" customHeight="1">
      <c r="A1408" s="2" t="s">
        <v>149</v>
      </c>
      <c r="B1408" s="2" t="s">
        <v>224</v>
      </c>
      <c r="C1408" s="2" t="s">
        <v>146</v>
      </c>
      <c r="D1408" s="2">
        <v>0.0</v>
      </c>
      <c r="E1408" s="2">
        <v>0.0</v>
      </c>
      <c r="F1408" s="2">
        <v>0.0</v>
      </c>
      <c r="G1408" s="2">
        <v>0.0</v>
      </c>
      <c r="H1408" s="2">
        <v>0.0</v>
      </c>
    </row>
    <row r="1409" ht="14.25" customHeight="1">
      <c r="A1409" s="2" t="s">
        <v>149</v>
      </c>
      <c r="B1409" s="2" t="s">
        <v>224</v>
      </c>
      <c r="C1409" s="2" t="s">
        <v>146</v>
      </c>
      <c r="D1409" s="2">
        <v>0.0</v>
      </c>
      <c r="E1409" s="2">
        <v>0.0</v>
      </c>
      <c r="F1409" s="2">
        <v>0.0</v>
      </c>
      <c r="G1409" s="2">
        <v>0.0</v>
      </c>
      <c r="H1409" s="2">
        <v>0.0</v>
      </c>
    </row>
    <row r="1410" ht="14.25" customHeight="1">
      <c r="A1410" s="2" t="s">
        <v>149</v>
      </c>
      <c r="B1410" s="2" t="s">
        <v>224</v>
      </c>
      <c r="C1410" s="2" t="s">
        <v>146</v>
      </c>
      <c r="D1410" s="2">
        <v>0.0</v>
      </c>
      <c r="E1410" s="2">
        <v>0.0</v>
      </c>
      <c r="F1410" s="2">
        <v>0.0</v>
      </c>
      <c r="G1410" s="2">
        <v>0.0</v>
      </c>
      <c r="H1410" s="2">
        <v>0.0</v>
      </c>
    </row>
    <row r="1411" ht="14.25" customHeight="1">
      <c r="A1411" s="2" t="s">
        <v>149</v>
      </c>
      <c r="B1411" s="2" t="s">
        <v>224</v>
      </c>
      <c r="C1411" s="2" t="s">
        <v>147</v>
      </c>
      <c r="D1411" s="2">
        <v>0.0</v>
      </c>
      <c r="E1411" s="2">
        <v>0.0</v>
      </c>
      <c r="F1411" s="2">
        <v>0.0</v>
      </c>
      <c r="G1411" s="2">
        <v>0.0</v>
      </c>
      <c r="H1411" s="2">
        <v>0.0</v>
      </c>
    </row>
    <row r="1412" ht="14.25" customHeight="1">
      <c r="A1412" s="2" t="s">
        <v>149</v>
      </c>
      <c r="B1412" s="2" t="s">
        <v>224</v>
      </c>
      <c r="C1412" s="2" t="s">
        <v>16</v>
      </c>
      <c r="D1412" s="2">
        <v>0.0</v>
      </c>
      <c r="E1412" s="2">
        <v>0.0</v>
      </c>
      <c r="F1412" s="2">
        <v>0.0</v>
      </c>
      <c r="G1412" s="2">
        <v>0.0</v>
      </c>
      <c r="H1412" s="2">
        <v>0.0</v>
      </c>
    </row>
    <row r="1413" ht="14.25" customHeight="1">
      <c r="A1413" s="2" t="s">
        <v>149</v>
      </c>
      <c r="B1413" s="2" t="s">
        <v>224</v>
      </c>
      <c r="C1413" s="2" t="s">
        <v>17</v>
      </c>
      <c r="D1413" s="2">
        <v>0.0</v>
      </c>
      <c r="E1413" s="2">
        <v>0.0</v>
      </c>
      <c r="F1413" s="2">
        <v>0.0</v>
      </c>
      <c r="G1413" s="2">
        <v>0.0</v>
      </c>
      <c r="H1413" s="2">
        <v>0.0</v>
      </c>
    </row>
    <row r="1414" ht="14.25" customHeight="1">
      <c r="A1414" s="2" t="s">
        <v>149</v>
      </c>
      <c r="B1414" s="2" t="s">
        <v>145</v>
      </c>
      <c r="C1414" s="2" t="s">
        <v>10</v>
      </c>
      <c r="D1414" s="2">
        <v>1054.369688242185</v>
      </c>
      <c r="E1414" s="2">
        <v>2.686826535673989</v>
      </c>
      <c r="F1414" s="2">
        <v>17073.16646214846</v>
      </c>
      <c r="G1414" s="2">
        <v>17.95354968055555</v>
      </c>
      <c r="H1414" s="2">
        <v>0.8778424363420367</v>
      </c>
    </row>
    <row r="1415" ht="14.25" customHeight="1">
      <c r="A1415" s="2" t="s">
        <v>149</v>
      </c>
      <c r="B1415" s="2" t="s">
        <v>148</v>
      </c>
      <c r="C1415" s="2" t="s">
        <v>10</v>
      </c>
      <c r="D1415" s="2">
        <v>0.0</v>
      </c>
      <c r="E1415" s="2">
        <v>0.0</v>
      </c>
      <c r="F1415" s="2">
        <v>0.0</v>
      </c>
      <c r="G1415" s="2">
        <v>0.0</v>
      </c>
      <c r="H1415" s="2">
        <v>0.0</v>
      </c>
    </row>
    <row r="1416" ht="14.25" customHeight="1">
      <c r="A1416" s="2" t="s">
        <v>149</v>
      </c>
      <c r="B1416" s="2" t="s">
        <v>18</v>
      </c>
      <c r="C1416" s="2" t="s">
        <v>10</v>
      </c>
      <c r="D1416" s="2">
        <v>0.0</v>
      </c>
      <c r="E1416" s="2">
        <v>0.0</v>
      </c>
      <c r="F1416" s="2">
        <v>0.0</v>
      </c>
      <c r="G1416" s="2">
        <v>0.0</v>
      </c>
      <c r="H1416" s="2">
        <v>0.0</v>
      </c>
    </row>
    <row r="1417" ht="14.25" customHeight="1">
      <c r="A1417" s="2" t="s">
        <v>150</v>
      </c>
      <c r="B1417" s="2" t="s">
        <v>23</v>
      </c>
      <c r="C1417" s="2" t="s">
        <v>24</v>
      </c>
      <c r="D1417" s="2">
        <v>3153.555320784</v>
      </c>
      <c r="E1417" s="2">
        <v>4.009556</v>
      </c>
      <c r="F1417" s="2">
        <v>81155.414982648</v>
      </c>
      <c r="G1417" s="2">
        <v>23.201194082</v>
      </c>
      <c r="H1417" s="2">
        <v>0.427158396979</v>
      </c>
    </row>
    <row r="1418" ht="14.25" customHeight="1">
      <c r="A1418" s="2" t="s">
        <v>150</v>
      </c>
      <c r="B1418" s="2" t="s">
        <v>23</v>
      </c>
      <c r="C1418" s="2" t="s">
        <v>25</v>
      </c>
      <c r="D1418" s="2">
        <v>116.760355032</v>
      </c>
      <c r="E1418" s="2">
        <v>0.398994008</v>
      </c>
      <c r="F1418" s="2">
        <v>2366.449218504</v>
      </c>
      <c r="G1418" s="2">
        <v>1.522991186</v>
      </c>
      <c r="H1418" s="2">
        <v>0.002948334217</v>
      </c>
    </row>
    <row r="1419" ht="14.25" customHeight="1">
      <c r="A1419" s="2" t="s">
        <v>150</v>
      </c>
      <c r="B1419" s="2" t="s">
        <v>23</v>
      </c>
      <c r="C1419" s="2" t="s">
        <v>25</v>
      </c>
      <c r="D1419" s="2">
        <v>27.46188652</v>
      </c>
      <c r="E1419" s="2">
        <v>0.110358752</v>
      </c>
      <c r="F1419" s="2">
        <v>531.36880692</v>
      </c>
      <c r="G1419" s="2">
        <v>0.333665146</v>
      </c>
      <c r="H1419" s="2">
        <v>6.57208545E-4</v>
      </c>
    </row>
    <row r="1420" ht="14.25" customHeight="1">
      <c r="A1420" s="2" t="s">
        <v>150</v>
      </c>
      <c r="B1420" s="2" t="s">
        <v>23</v>
      </c>
      <c r="C1420" s="2" t="s">
        <v>31</v>
      </c>
      <c r="D1420" s="2">
        <v>34.497273992</v>
      </c>
      <c r="E1420" s="2">
        <v>0.006975188</v>
      </c>
      <c r="F1420" s="2">
        <v>570.390916024</v>
      </c>
      <c r="G1420" s="2">
        <v>0.135469994</v>
      </c>
      <c r="H1420" s="2">
        <v>0.001212341127</v>
      </c>
    </row>
    <row r="1421" ht="14.25" customHeight="1">
      <c r="A1421" s="2" t="s">
        <v>150</v>
      </c>
      <c r="B1421" s="2" t="s">
        <v>23</v>
      </c>
      <c r="C1421" s="2" t="s">
        <v>31</v>
      </c>
      <c r="D1421" s="2">
        <v>11.03777196</v>
      </c>
      <c r="E1421" s="2">
        <v>0.036903332</v>
      </c>
      <c r="F1421" s="2">
        <v>229.96166523</v>
      </c>
      <c r="G1421" s="2">
        <v>0.134656013</v>
      </c>
      <c r="H1421" s="2">
        <v>4.014002725E-4</v>
      </c>
    </row>
    <row r="1422" ht="14.25" customHeight="1">
      <c r="A1422" s="2" t="s">
        <v>150</v>
      </c>
      <c r="B1422" s="2" t="s">
        <v>23</v>
      </c>
      <c r="C1422" s="2" t="s">
        <v>32</v>
      </c>
      <c r="D1422" s="2">
        <v>1.244646968226394</v>
      </c>
      <c r="E1422" s="2">
        <v>0.003927542408064</v>
      </c>
      <c r="F1422" s="2">
        <v>33.0316216947269</v>
      </c>
      <c r="G1422" s="2">
        <v>0.0213856549920288</v>
      </c>
      <c r="H1422" s="2">
        <v>1.034290925393616E-4</v>
      </c>
    </row>
    <row r="1423" ht="14.25" customHeight="1">
      <c r="A1423" s="2" t="s">
        <v>150</v>
      </c>
      <c r="B1423" s="2" t="s">
        <v>23</v>
      </c>
      <c r="C1423" s="2" t="s">
        <v>26</v>
      </c>
      <c r="D1423" s="2">
        <v>110.8886059856956</v>
      </c>
      <c r="E1423" s="2">
        <v>0.2759136668739</v>
      </c>
      <c r="F1423" s="2">
        <v>2633.941460473754</v>
      </c>
      <c r="G1423" s="2">
        <v>1.90239412698423</v>
      </c>
      <c r="H1423" s="2">
        <v>0.007400029869071235</v>
      </c>
    </row>
    <row r="1424" ht="14.25" customHeight="1">
      <c r="A1424" s="2" t="s">
        <v>150</v>
      </c>
      <c r="B1424" s="2" t="s">
        <v>23</v>
      </c>
      <c r="C1424" s="2" t="s">
        <v>26</v>
      </c>
      <c r="D1424" s="2">
        <v>8.4741376100403</v>
      </c>
      <c r="E1424" s="2">
        <v>0.0269829470625</v>
      </c>
      <c r="F1424" s="2">
        <v>174.1152550097796</v>
      </c>
      <c r="G1424" s="2">
        <v>0.13938513859215</v>
      </c>
      <c r="H1424" s="2">
        <v>8.77677651410175E-4</v>
      </c>
    </row>
    <row r="1425" ht="14.25" customHeight="1">
      <c r="A1425" s="2" t="s">
        <v>150</v>
      </c>
      <c r="B1425" s="2" t="s">
        <v>23</v>
      </c>
      <c r="C1425" s="2" t="s">
        <v>46</v>
      </c>
      <c r="D1425" s="2">
        <v>14.118104676</v>
      </c>
      <c r="E1425" s="2">
        <v>0.181234872</v>
      </c>
      <c r="F1425" s="2">
        <v>2079.87890136</v>
      </c>
      <c r="G1425" s="2">
        <v>0.565822608</v>
      </c>
      <c r="H1425" s="2">
        <v>0.0020480616</v>
      </c>
    </row>
    <row r="1426" ht="14.25" customHeight="1">
      <c r="A1426" s="2" t="s">
        <v>150</v>
      </c>
      <c r="B1426" s="2" t="s">
        <v>23</v>
      </c>
      <c r="C1426" s="2" t="s">
        <v>33</v>
      </c>
      <c r="D1426" s="2">
        <v>18.33000590434</v>
      </c>
      <c r="E1426" s="2">
        <v>0.23530327548</v>
      </c>
      <c r="F1426" s="2">
        <v>2700.3761069324</v>
      </c>
      <c r="G1426" s="2">
        <v>0.73462635272</v>
      </c>
      <c r="H1426" s="2">
        <v>0.002659066644</v>
      </c>
    </row>
    <row r="1427" ht="14.25" customHeight="1">
      <c r="A1427" s="2" t="s">
        <v>150</v>
      </c>
      <c r="B1427" s="2" t="s">
        <v>23</v>
      </c>
      <c r="C1427" s="2" t="s">
        <v>33</v>
      </c>
      <c r="D1427" s="2">
        <v>18.33000590434</v>
      </c>
      <c r="E1427" s="2">
        <v>0.23530327548</v>
      </c>
      <c r="F1427" s="2">
        <v>2700.3761069324</v>
      </c>
      <c r="G1427" s="2">
        <v>0.73462635272</v>
      </c>
      <c r="H1427" s="2">
        <v>0.002659066644</v>
      </c>
    </row>
    <row r="1428" ht="14.25" customHeight="1">
      <c r="A1428" s="2" t="s">
        <v>150</v>
      </c>
      <c r="B1428" s="2" t="s">
        <v>23</v>
      </c>
      <c r="C1428" s="2" t="s">
        <v>33</v>
      </c>
      <c r="D1428" s="2">
        <v>18.33000590434</v>
      </c>
      <c r="E1428" s="2">
        <v>0.23530327548</v>
      </c>
      <c r="F1428" s="2">
        <v>2700.3761069324</v>
      </c>
      <c r="G1428" s="2">
        <v>0.73462635272</v>
      </c>
      <c r="H1428" s="2">
        <v>0.002659066644</v>
      </c>
    </row>
    <row r="1429" ht="14.25" customHeight="1">
      <c r="A1429" s="2" t="s">
        <v>150</v>
      </c>
      <c r="B1429" s="2" t="s">
        <v>23</v>
      </c>
      <c r="C1429" s="2" t="s">
        <v>33</v>
      </c>
      <c r="D1429" s="2">
        <v>18.33000590434</v>
      </c>
      <c r="E1429" s="2">
        <v>0.23530327548</v>
      </c>
      <c r="F1429" s="2">
        <v>2700.3761069324</v>
      </c>
      <c r="G1429" s="2">
        <v>0.73462635272</v>
      </c>
      <c r="H1429" s="2">
        <v>0.002659066644</v>
      </c>
    </row>
    <row r="1430" ht="14.25" customHeight="1">
      <c r="A1430" s="2" t="s">
        <v>150</v>
      </c>
      <c r="B1430" s="2" t="s">
        <v>23</v>
      </c>
      <c r="C1430" s="2" t="s">
        <v>33</v>
      </c>
      <c r="D1430" s="2">
        <v>18.33000590434</v>
      </c>
      <c r="E1430" s="2">
        <v>0.23530327548</v>
      </c>
      <c r="F1430" s="2">
        <v>2700.3761069324</v>
      </c>
      <c r="G1430" s="2">
        <v>0.73462635272</v>
      </c>
      <c r="H1430" s="2">
        <v>0.002659066644</v>
      </c>
    </row>
    <row r="1431" ht="14.25" customHeight="1">
      <c r="A1431" s="2" t="s">
        <v>150</v>
      </c>
      <c r="B1431" s="2" t="s">
        <v>23</v>
      </c>
      <c r="C1431" s="2" t="s">
        <v>33</v>
      </c>
      <c r="D1431" s="2">
        <v>6.78574031158</v>
      </c>
      <c r="E1431" s="2">
        <v>0.08710891476</v>
      </c>
      <c r="F1431" s="2">
        <v>999.6751283588</v>
      </c>
      <c r="G1431" s="2">
        <v>0.27195755864</v>
      </c>
      <c r="H1431" s="2">
        <v>9.84382428E-4</v>
      </c>
    </row>
    <row r="1432" ht="14.25" customHeight="1">
      <c r="A1432" s="2" t="s">
        <v>150</v>
      </c>
      <c r="B1432" s="2" t="s">
        <v>23</v>
      </c>
      <c r="C1432" s="2" t="s">
        <v>33</v>
      </c>
      <c r="D1432" s="2">
        <v>6.78574031158</v>
      </c>
      <c r="E1432" s="2">
        <v>0.08710891476</v>
      </c>
      <c r="F1432" s="2">
        <v>999.6751283588</v>
      </c>
      <c r="G1432" s="2">
        <v>0.27195755864</v>
      </c>
      <c r="H1432" s="2">
        <v>9.84382428E-4</v>
      </c>
    </row>
    <row r="1433" ht="14.25" customHeight="1">
      <c r="A1433" s="2" t="s">
        <v>150</v>
      </c>
      <c r="B1433" s="2" t="s">
        <v>23</v>
      </c>
      <c r="C1433" s="2" t="s">
        <v>33</v>
      </c>
      <c r="D1433" s="2">
        <v>6.78574031158</v>
      </c>
      <c r="E1433" s="2">
        <v>0.08710891476</v>
      </c>
      <c r="F1433" s="2">
        <v>999.6751283588</v>
      </c>
      <c r="G1433" s="2">
        <v>0.27195755864</v>
      </c>
      <c r="H1433" s="2">
        <v>9.84382428E-4</v>
      </c>
    </row>
    <row r="1434" ht="14.25" customHeight="1">
      <c r="A1434" s="2" t="s">
        <v>150</v>
      </c>
      <c r="B1434" s="2" t="s">
        <v>23</v>
      </c>
      <c r="C1434" s="2" t="s">
        <v>27</v>
      </c>
      <c r="D1434" s="2">
        <v>227.2230017723333</v>
      </c>
      <c r="E1434" s="2">
        <v>3.0092128563672</v>
      </c>
      <c r="F1434" s="2">
        <v>5951.218222733384</v>
      </c>
      <c r="G1434" s="2">
        <v>29.9685067660755</v>
      </c>
      <c r="H1434" s="2">
        <v>2.675473762625487</v>
      </c>
    </row>
    <row r="1435" ht="14.25" customHeight="1">
      <c r="A1435" s="2" t="s">
        <v>150</v>
      </c>
      <c r="B1435" s="2" t="s">
        <v>23</v>
      </c>
      <c r="C1435" s="2" t="s">
        <v>28</v>
      </c>
      <c r="D1435" s="2">
        <v>16.168426218</v>
      </c>
      <c r="E1435" s="2">
        <v>0.1963660881</v>
      </c>
      <c r="F1435" s="2">
        <v>2307.874082185</v>
      </c>
      <c r="G1435" s="2">
        <v>0.62776145075</v>
      </c>
      <c r="H1435" s="2">
        <v>0.002215044461</v>
      </c>
    </row>
    <row r="1436" ht="14.25" customHeight="1">
      <c r="A1436" s="2" t="s">
        <v>150</v>
      </c>
      <c r="B1436" s="2" t="s">
        <v>209</v>
      </c>
      <c r="C1436" s="2" t="s">
        <v>24</v>
      </c>
      <c r="D1436" s="2">
        <v>0.0</v>
      </c>
      <c r="E1436" s="2">
        <v>0.0</v>
      </c>
      <c r="F1436" s="2">
        <v>0.0</v>
      </c>
      <c r="G1436" s="2">
        <v>0.0</v>
      </c>
      <c r="H1436" s="2">
        <v>0.0</v>
      </c>
    </row>
    <row r="1437" ht="14.25" customHeight="1">
      <c r="A1437" s="2" t="s">
        <v>150</v>
      </c>
      <c r="B1437" s="2" t="s">
        <v>209</v>
      </c>
      <c r="C1437" s="2" t="s">
        <v>25</v>
      </c>
      <c r="D1437" s="2">
        <v>0.0</v>
      </c>
      <c r="E1437" s="2">
        <v>0.0</v>
      </c>
      <c r="F1437" s="2">
        <v>0.0</v>
      </c>
      <c r="G1437" s="2">
        <v>0.0</v>
      </c>
      <c r="H1437" s="2">
        <v>0.0</v>
      </c>
    </row>
    <row r="1438" ht="14.25" customHeight="1">
      <c r="A1438" s="2" t="s">
        <v>150</v>
      </c>
      <c r="B1438" s="2" t="s">
        <v>209</v>
      </c>
      <c r="C1438" s="2" t="s">
        <v>25</v>
      </c>
      <c r="D1438" s="2">
        <v>0.0</v>
      </c>
      <c r="E1438" s="2">
        <v>0.0</v>
      </c>
      <c r="F1438" s="2">
        <v>0.0</v>
      </c>
      <c r="G1438" s="2">
        <v>0.0</v>
      </c>
      <c r="H1438" s="2">
        <v>0.0</v>
      </c>
    </row>
    <row r="1439" ht="14.25" customHeight="1">
      <c r="A1439" s="2" t="s">
        <v>150</v>
      </c>
      <c r="B1439" s="2" t="s">
        <v>209</v>
      </c>
      <c r="C1439" s="2" t="s">
        <v>31</v>
      </c>
      <c r="D1439" s="2">
        <v>0.0</v>
      </c>
      <c r="E1439" s="2">
        <v>0.0</v>
      </c>
      <c r="F1439" s="2">
        <v>0.0</v>
      </c>
      <c r="G1439" s="2">
        <v>0.0</v>
      </c>
      <c r="H1439" s="2">
        <v>0.0</v>
      </c>
    </row>
    <row r="1440" ht="14.25" customHeight="1">
      <c r="A1440" s="2" t="s">
        <v>150</v>
      </c>
      <c r="B1440" s="2" t="s">
        <v>209</v>
      </c>
      <c r="C1440" s="2" t="s">
        <v>31</v>
      </c>
      <c r="D1440" s="2">
        <v>0.0</v>
      </c>
      <c r="E1440" s="2">
        <v>0.0</v>
      </c>
      <c r="F1440" s="2">
        <v>0.0</v>
      </c>
      <c r="G1440" s="2">
        <v>0.0</v>
      </c>
      <c r="H1440" s="2">
        <v>0.0</v>
      </c>
    </row>
    <row r="1441" ht="14.25" customHeight="1">
      <c r="A1441" s="2" t="s">
        <v>150</v>
      </c>
      <c r="B1441" s="2" t="s">
        <v>209</v>
      </c>
      <c r="C1441" s="2" t="s">
        <v>32</v>
      </c>
      <c r="D1441" s="2">
        <v>0.0</v>
      </c>
      <c r="E1441" s="2">
        <v>0.0</v>
      </c>
      <c r="F1441" s="2">
        <v>0.0</v>
      </c>
      <c r="G1441" s="2">
        <v>0.0</v>
      </c>
      <c r="H1441" s="2">
        <v>0.0</v>
      </c>
    </row>
    <row r="1442" ht="14.25" customHeight="1">
      <c r="A1442" s="2" t="s">
        <v>150</v>
      </c>
      <c r="B1442" s="2" t="s">
        <v>209</v>
      </c>
      <c r="C1442" s="2" t="s">
        <v>26</v>
      </c>
      <c r="D1442" s="2">
        <v>0.0</v>
      </c>
      <c r="E1442" s="2">
        <v>0.0</v>
      </c>
      <c r="F1442" s="2">
        <v>0.0</v>
      </c>
      <c r="G1442" s="2">
        <v>0.0</v>
      </c>
      <c r="H1442" s="2">
        <v>0.0</v>
      </c>
    </row>
    <row r="1443" ht="14.25" customHeight="1">
      <c r="A1443" s="2" t="s">
        <v>150</v>
      </c>
      <c r="B1443" s="2" t="s">
        <v>209</v>
      </c>
      <c r="C1443" s="2" t="s">
        <v>26</v>
      </c>
      <c r="D1443" s="2">
        <v>0.0</v>
      </c>
      <c r="E1443" s="2">
        <v>0.0</v>
      </c>
      <c r="F1443" s="2">
        <v>0.0</v>
      </c>
      <c r="G1443" s="2">
        <v>0.0</v>
      </c>
      <c r="H1443" s="2">
        <v>0.0</v>
      </c>
    </row>
    <row r="1444" ht="14.25" customHeight="1">
      <c r="A1444" s="2" t="s">
        <v>150</v>
      </c>
      <c r="B1444" s="2" t="s">
        <v>209</v>
      </c>
      <c r="C1444" s="2" t="s">
        <v>46</v>
      </c>
      <c r="D1444" s="2">
        <v>0.0</v>
      </c>
      <c r="E1444" s="2">
        <v>0.0</v>
      </c>
      <c r="F1444" s="2">
        <v>0.0</v>
      </c>
      <c r="G1444" s="2">
        <v>0.0</v>
      </c>
      <c r="H1444" s="2">
        <v>0.0</v>
      </c>
    </row>
    <row r="1445" ht="14.25" customHeight="1">
      <c r="A1445" s="2" t="s">
        <v>150</v>
      </c>
      <c r="B1445" s="2" t="s">
        <v>209</v>
      </c>
      <c r="C1445" s="2" t="s">
        <v>33</v>
      </c>
      <c r="D1445" s="2">
        <v>0.0</v>
      </c>
      <c r="E1445" s="2">
        <v>0.0</v>
      </c>
      <c r="F1445" s="2">
        <v>0.0</v>
      </c>
      <c r="G1445" s="2">
        <v>0.0</v>
      </c>
      <c r="H1445" s="2">
        <v>0.0</v>
      </c>
    </row>
    <row r="1446" ht="14.25" customHeight="1">
      <c r="A1446" s="2" t="s">
        <v>150</v>
      </c>
      <c r="B1446" s="2" t="s">
        <v>209</v>
      </c>
      <c r="C1446" s="2" t="s">
        <v>33</v>
      </c>
      <c r="D1446" s="2">
        <v>0.0</v>
      </c>
      <c r="E1446" s="2">
        <v>0.0</v>
      </c>
      <c r="F1446" s="2">
        <v>0.0</v>
      </c>
      <c r="G1446" s="2">
        <v>0.0</v>
      </c>
      <c r="H1446" s="2">
        <v>0.0</v>
      </c>
    </row>
    <row r="1447" ht="14.25" customHeight="1">
      <c r="A1447" s="2" t="s">
        <v>150</v>
      </c>
      <c r="B1447" s="2" t="s">
        <v>209</v>
      </c>
      <c r="C1447" s="2" t="s">
        <v>33</v>
      </c>
      <c r="D1447" s="2">
        <v>0.0</v>
      </c>
      <c r="E1447" s="2">
        <v>0.0</v>
      </c>
      <c r="F1447" s="2">
        <v>0.0</v>
      </c>
      <c r="G1447" s="2">
        <v>0.0</v>
      </c>
      <c r="H1447" s="2">
        <v>0.0</v>
      </c>
    </row>
    <row r="1448" ht="14.25" customHeight="1">
      <c r="A1448" s="2" t="s">
        <v>150</v>
      </c>
      <c r="B1448" s="2" t="s">
        <v>209</v>
      </c>
      <c r="C1448" s="2" t="s">
        <v>33</v>
      </c>
      <c r="D1448" s="2">
        <v>0.0</v>
      </c>
      <c r="E1448" s="2">
        <v>0.0</v>
      </c>
      <c r="F1448" s="2">
        <v>0.0</v>
      </c>
      <c r="G1448" s="2">
        <v>0.0</v>
      </c>
      <c r="H1448" s="2">
        <v>0.0</v>
      </c>
    </row>
    <row r="1449" ht="14.25" customHeight="1">
      <c r="A1449" s="2" t="s">
        <v>150</v>
      </c>
      <c r="B1449" s="2" t="s">
        <v>209</v>
      </c>
      <c r="C1449" s="2" t="s">
        <v>33</v>
      </c>
      <c r="D1449" s="2">
        <v>0.0</v>
      </c>
      <c r="E1449" s="2">
        <v>0.0</v>
      </c>
      <c r="F1449" s="2">
        <v>0.0</v>
      </c>
      <c r="G1449" s="2">
        <v>0.0</v>
      </c>
      <c r="H1449" s="2">
        <v>0.0</v>
      </c>
    </row>
    <row r="1450" ht="14.25" customHeight="1">
      <c r="A1450" s="2" t="s">
        <v>150</v>
      </c>
      <c r="B1450" s="2" t="s">
        <v>209</v>
      </c>
      <c r="C1450" s="2" t="s">
        <v>33</v>
      </c>
      <c r="D1450" s="2">
        <v>0.0</v>
      </c>
      <c r="E1450" s="2">
        <v>0.0</v>
      </c>
      <c r="F1450" s="2">
        <v>0.0</v>
      </c>
      <c r="G1450" s="2">
        <v>0.0</v>
      </c>
      <c r="H1450" s="2">
        <v>0.0</v>
      </c>
    </row>
    <row r="1451" ht="14.25" customHeight="1">
      <c r="A1451" s="2" t="s">
        <v>150</v>
      </c>
      <c r="B1451" s="2" t="s">
        <v>209</v>
      </c>
      <c r="C1451" s="2" t="s">
        <v>33</v>
      </c>
      <c r="D1451" s="2">
        <v>0.0</v>
      </c>
      <c r="E1451" s="2">
        <v>0.0</v>
      </c>
      <c r="F1451" s="2">
        <v>0.0</v>
      </c>
      <c r="G1451" s="2">
        <v>0.0</v>
      </c>
      <c r="H1451" s="2">
        <v>0.0</v>
      </c>
    </row>
    <row r="1452" ht="14.25" customHeight="1">
      <c r="A1452" s="2" t="s">
        <v>150</v>
      </c>
      <c r="B1452" s="2" t="s">
        <v>209</v>
      </c>
      <c r="C1452" s="2" t="s">
        <v>33</v>
      </c>
      <c r="D1452" s="2">
        <v>0.0</v>
      </c>
      <c r="E1452" s="2">
        <v>0.0</v>
      </c>
      <c r="F1452" s="2">
        <v>0.0</v>
      </c>
      <c r="G1452" s="2">
        <v>0.0</v>
      </c>
      <c r="H1452" s="2">
        <v>0.0</v>
      </c>
    </row>
    <row r="1453" ht="14.25" customHeight="1">
      <c r="A1453" s="2" t="s">
        <v>150</v>
      </c>
      <c r="B1453" s="2" t="s">
        <v>209</v>
      </c>
      <c r="C1453" s="2" t="s">
        <v>27</v>
      </c>
      <c r="D1453" s="2">
        <v>0.0</v>
      </c>
      <c r="E1453" s="2">
        <v>0.0</v>
      </c>
      <c r="F1453" s="2">
        <v>0.0</v>
      </c>
      <c r="G1453" s="2">
        <v>0.0</v>
      </c>
      <c r="H1453" s="2">
        <v>0.0</v>
      </c>
    </row>
    <row r="1454" ht="14.25" customHeight="1">
      <c r="A1454" s="2" t="s">
        <v>150</v>
      </c>
      <c r="B1454" s="2" t="s">
        <v>209</v>
      </c>
      <c r="C1454" s="2" t="s">
        <v>28</v>
      </c>
      <c r="D1454" s="2">
        <v>0.0</v>
      </c>
      <c r="E1454" s="2">
        <v>0.0</v>
      </c>
      <c r="F1454" s="2">
        <v>0.0</v>
      </c>
      <c r="G1454" s="2">
        <v>0.0</v>
      </c>
      <c r="H1454" s="2">
        <v>0.0</v>
      </c>
    </row>
    <row r="1455" ht="14.25" customHeight="1">
      <c r="A1455" s="2" t="s">
        <v>150</v>
      </c>
      <c r="B1455" s="2" t="s">
        <v>23</v>
      </c>
      <c r="C1455" s="2" t="s">
        <v>10</v>
      </c>
      <c r="D1455" s="2">
        <v>3833.436781974735</v>
      </c>
      <c r="E1455" s="2">
        <v>9.694268374491664</v>
      </c>
      <c r="F1455" s="2">
        <v>114534.551052521</v>
      </c>
      <c r="G1455" s="2">
        <v>63.04223660591391</v>
      </c>
      <c r="H1455" s="2">
        <v>3.136744166944008</v>
      </c>
    </row>
    <row r="1456" ht="14.25" customHeight="1">
      <c r="A1456" s="2" t="s">
        <v>150</v>
      </c>
      <c r="B1456" s="2" t="s">
        <v>29</v>
      </c>
      <c r="C1456" s="2" t="s">
        <v>10</v>
      </c>
      <c r="D1456" s="2">
        <v>0.0</v>
      </c>
      <c r="E1456" s="2">
        <v>0.0</v>
      </c>
      <c r="F1456" s="2">
        <v>0.0</v>
      </c>
      <c r="G1456" s="2">
        <v>0.0</v>
      </c>
      <c r="H1456" s="2">
        <v>0.0</v>
      </c>
    </row>
    <row r="1457" ht="14.25" customHeight="1">
      <c r="A1457" s="2" t="s">
        <v>150</v>
      </c>
      <c r="B1457" s="2" t="s">
        <v>18</v>
      </c>
      <c r="C1457" s="2" t="s">
        <v>10</v>
      </c>
      <c r="D1457" s="2">
        <v>0.0</v>
      </c>
      <c r="E1457" s="2">
        <v>0.0</v>
      </c>
      <c r="F1457" s="2">
        <v>0.0</v>
      </c>
      <c r="G1457" s="2">
        <v>0.0</v>
      </c>
      <c r="H1457" s="2">
        <v>0.0</v>
      </c>
    </row>
    <row r="1458" ht="14.25" customHeight="1">
      <c r="A1458" s="2" t="s">
        <v>151</v>
      </c>
      <c r="B1458" s="2" t="s">
        <v>23</v>
      </c>
      <c r="C1458" s="2" t="s">
        <v>24</v>
      </c>
      <c r="D1458" s="2">
        <v>1632.5328638136</v>
      </c>
      <c r="E1458" s="2">
        <v>2.080118848</v>
      </c>
      <c r="F1458" s="2">
        <v>41983.6016973692</v>
      </c>
      <c r="G1458" s="2">
        <v>11.9933462873</v>
      </c>
      <c r="H1458" s="2">
        <v>0.22071908301535</v>
      </c>
    </row>
    <row r="1459" ht="14.25" customHeight="1">
      <c r="A1459" s="2" t="s">
        <v>151</v>
      </c>
      <c r="B1459" s="2" t="s">
        <v>23</v>
      </c>
      <c r="C1459" s="2" t="s">
        <v>24</v>
      </c>
      <c r="D1459" s="2">
        <v>558.5960921528</v>
      </c>
      <c r="E1459" s="2">
        <v>0.797598581</v>
      </c>
      <c r="F1459" s="2">
        <v>15606.8104812516</v>
      </c>
      <c r="G1459" s="2">
        <v>4.9460288449</v>
      </c>
      <c r="H1459" s="2">
        <v>0.09204996345805</v>
      </c>
    </row>
    <row r="1460" ht="14.25" customHeight="1">
      <c r="A1460" s="2" t="s">
        <v>151</v>
      </c>
      <c r="B1460" s="2" t="s">
        <v>23</v>
      </c>
      <c r="C1460" s="2" t="s">
        <v>25</v>
      </c>
      <c r="D1460" s="2">
        <v>84.4192075052</v>
      </c>
      <c r="E1460" s="2">
        <v>0.287187222</v>
      </c>
      <c r="F1460" s="2">
        <v>1704.8212590444</v>
      </c>
      <c r="G1460" s="2">
        <v>1.0820367791</v>
      </c>
      <c r="H1460" s="2">
        <v>0.00209943913745</v>
      </c>
    </row>
    <row r="1461" ht="14.25" customHeight="1">
      <c r="A1461" s="2" t="s">
        <v>151</v>
      </c>
      <c r="B1461" s="2" t="s">
        <v>23</v>
      </c>
      <c r="C1461" s="2" t="s">
        <v>25</v>
      </c>
      <c r="D1461" s="2">
        <v>29.61490121088</v>
      </c>
      <c r="E1461" s="2">
        <v>0.1008803232</v>
      </c>
      <c r="F1461" s="2">
        <v>598.69758383136</v>
      </c>
      <c r="G1461" s="2">
        <v>0.38155366104</v>
      </c>
      <c r="H1461" s="2">
        <v>7.3981881528E-4</v>
      </c>
    </row>
    <row r="1462" ht="14.25" customHeight="1">
      <c r="A1462" s="2" t="s">
        <v>151</v>
      </c>
      <c r="B1462" s="2" t="s">
        <v>23</v>
      </c>
      <c r="C1462" s="2" t="s">
        <v>25</v>
      </c>
      <c r="D1462" s="2">
        <v>12.3395421712</v>
      </c>
      <c r="E1462" s="2">
        <v>0.042033468</v>
      </c>
      <c r="F1462" s="2">
        <v>249.4573265964</v>
      </c>
      <c r="G1462" s="2">
        <v>0.1589806921</v>
      </c>
      <c r="H1462" s="2">
        <v>3.082578397E-4</v>
      </c>
    </row>
    <row r="1463" ht="14.25" customHeight="1">
      <c r="A1463" s="2" t="s">
        <v>151</v>
      </c>
      <c r="B1463" s="2" t="s">
        <v>23</v>
      </c>
      <c r="C1463" s="2" t="s">
        <v>25</v>
      </c>
      <c r="D1463" s="2">
        <v>6.975904674496</v>
      </c>
      <c r="E1463" s="2">
        <v>0.02788391304</v>
      </c>
      <c r="F1463" s="2">
        <v>134.684070885312</v>
      </c>
      <c r="G1463" s="2">
        <v>0.083625776768</v>
      </c>
      <c r="H1463" s="2">
        <v>1.65013186976E-4</v>
      </c>
    </row>
    <row r="1464" ht="14.25" customHeight="1">
      <c r="A1464" s="2" t="s">
        <v>151</v>
      </c>
      <c r="B1464" s="2" t="s">
        <v>23</v>
      </c>
      <c r="C1464" s="2" t="s">
        <v>31</v>
      </c>
      <c r="D1464" s="2">
        <v>16.1596095198456</v>
      </c>
      <c r="E1464" s="2">
        <v>0.005461327044</v>
      </c>
      <c r="F1464" s="2">
        <v>324.2800106031432</v>
      </c>
      <c r="G1464" s="2">
        <v>0.1762181833698</v>
      </c>
      <c r="H1464" s="2">
        <v>3.951534108861E-4</v>
      </c>
    </row>
    <row r="1465" ht="14.25" customHeight="1">
      <c r="A1465" s="2" t="s">
        <v>151</v>
      </c>
      <c r="B1465" s="2" t="s">
        <v>23</v>
      </c>
      <c r="C1465" s="2" t="s">
        <v>32</v>
      </c>
      <c r="D1465" s="2">
        <v>58.4532462528</v>
      </c>
      <c r="E1465" s="2">
        <v>0.184455642</v>
      </c>
      <c r="F1465" s="2">
        <v>1551.361094556</v>
      </c>
      <c r="G1465" s="2">
        <v>1.004463612</v>
      </c>
      <c r="H1465" s="2">
        <v>0.0048579852</v>
      </c>
    </row>
    <row r="1466" ht="14.25" customHeight="1">
      <c r="A1466" s="2" t="s">
        <v>151</v>
      </c>
      <c r="B1466" s="2" t="s">
        <v>23</v>
      </c>
      <c r="C1466" s="2" t="s">
        <v>32</v>
      </c>
      <c r="D1466" s="2">
        <v>12.9660959505</v>
      </c>
      <c r="E1466" s="2">
        <v>0.0436112655</v>
      </c>
      <c r="F1466" s="2">
        <v>355.959408255</v>
      </c>
      <c r="G1466" s="2">
        <v>0.2646844695</v>
      </c>
      <c r="H1466" s="2">
        <v>0.001230801</v>
      </c>
    </row>
    <row r="1467" ht="14.25" customHeight="1">
      <c r="A1467" s="2" t="s">
        <v>151</v>
      </c>
      <c r="B1467" s="2" t="s">
        <v>23</v>
      </c>
      <c r="C1467" s="2" t="s">
        <v>26</v>
      </c>
      <c r="D1467" s="2">
        <v>83.8012656822</v>
      </c>
      <c r="E1467" s="2">
        <v>0.2084786501625</v>
      </c>
      <c r="F1467" s="2">
        <v>1991.98684682175</v>
      </c>
      <c r="G1467" s="2">
        <v>1.440818307375</v>
      </c>
      <c r="H1467" s="2">
        <v>0.005604761655</v>
      </c>
    </row>
    <row r="1468" ht="14.25" customHeight="1">
      <c r="A1468" s="2" t="s">
        <v>151</v>
      </c>
      <c r="B1468" s="2" t="s">
        <v>23</v>
      </c>
      <c r="C1468" s="2" t="s">
        <v>33</v>
      </c>
      <c r="D1468" s="2">
        <v>0.0</v>
      </c>
      <c r="E1468" s="2">
        <v>0.0</v>
      </c>
      <c r="F1468" s="2">
        <v>0.0</v>
      </c>
      <c r="G1468" s="2">
        <v>0.0</v>
      </c>
      <c r="H1468" s="2">
        <v>0.0</v>
      </c>
    </row>
    <row r="1469" ht="14.25" customHeight="1">
      <c r="A1469" s="2" t="s">
        <v>151</v>
      </c>
      <c r="B1469" s="2" t="s">
        <v>209</v>
      </c>
      <c r="C1469" s="2" t="s">
        <v>24</v>
      </c>
      <c r="D1469" s="2">
        <v>0.0</v>
      </c>
      <c r="E1469" s="2">
        <v>0.0</v>
      </c>
      <c r="F1469" s="2">
        <v>0.0</v>
      </c>
      <c r="G1469" s="2">
        <v>0.0</v>
      </c>
      <c r="H1469" s="2">
        <v>0.0</v>
      </c>
    </row>
    <row r="1470" ht="14.25" customHeight="1">
      <c r="A1470" s="2" t="s">
        <v>151</v>
      </c>
      <c r="B1470" s="2" t="s">
        <v>209</v>
      </c>
      <c r="C1470" s="2" t="s">
        <v>24</v>
      </c>
      <c r="D1470" s="2">
        <v>0.0</v>
      </c>
      <c r="E1470" s="2">
        <v>0.0</v>
      </c>
      <c r="F1470" s="2">
        <v>0.0</v>
      </c>
      <c r="G1470" s="2">
        <v>0.0</v>
      </c>
      <c r="H1470" s="2">
        <v>0.0</v>
      </c>
    </row>
    <row r="1471" ht="14.25" customHeight="1">
      <c r="A1471" s="2" t="s">
        <v>151</v>
      </c>
      <c r="B1471" s="2" t="s">
        <v>209</v>
      </c>
      <c r="C1471" s="2" t="s">
        <v>25</v>
      </c>
      <c r="D1471" s="2">
        <v>0.0</v>
      </c>
      <c r="E1471" s="2">
        <v>0.0</v>
      </c>
      <c r="F1471" s="2">
        <v>0.0</v>
      </c>
      <c r="G1471" s="2">
        <v>0.0</v>
      </c>
      <c r="H1471" s="2">
        <v>0.0</v>
      </c>
    </row>
    <row r="1472" ht="14.25" customHeight="1">
      <c r="A1472" s="2" t="s">
        <v>151</v>
      </c>
      <c r="B1472" s="2" t="s">
        <v>209</v>
      </c>
      <c r="C1472" s="2" t="s">
        <v>25</v>
      </c>
      <c r="D1472" s="2">
        <v>0.0</v>
      </c>
      <c r="E1472" s="2">
        <v>0.0</v>
      </c>
      <c r="F1472" s="2">
        <v>0.0</v>
      </c>
      <c r="G1472" s="2">
        <v>0.0</v>
      </c>
      <c r="H1472" s="2">
        <v>0.0</v>
      </c>
    </row>
    <row r="1473" ht="14.25" customHeight="1">
      <c r="A1473" s="2" t="s">
        <v>151</v>
      </c>
      <c r="B1473" s="2" t="s">
        <v>209</v>
      </c>
      <c r="C1473" s="2" t="s">
        <v>25</v>
      </c>
      <c r="D1473" s="2">
        <v>0.0</v>
      </c>
      <c r="E1473" s="2">
        <v>0.0</v>
      </c>
      <c r="F1473" s="2">
        <v>0.0</v>
      </c>
      <c r="G1473" s="2">
        <v>0.0</v>
      </c>
      <c r="H1473" s="2">
        <v>0.0</v>
      </c>
    </row>
    <row r="1474" ht="14.25" customHeight="1">
      <c r="A1474" s="2" t="s">
        <v>151</v>
      </c>
      <c r="B1474" s="2" t="s">
        <v>209</v>
      </c>
      <c r="C1474" s="2" t="s">
        <v>25</v>
      </c>
      <c r="D1474" s="2">
        <v>0.0</v>
      </c>
      <c r="E1474" s="2">
        <v>0.0</v>
      </c>
      <c r="F1474" s="2">
        <v>0.0</v>
      </c>
      <c r="G1474" s="2">
        <v>0.0</v>
      </c>
      <c r="H1474" s="2">
        <v>0.0</v>
      </c>
    </row>
    <row r="1475" ht="14.25" customHeight="1">
      <c r="A1475" s="2" t="s">
        <v>151</v>
      </c>
      <c r="B1475" s="2" t="s">
        <v>209</v>
      </c>
      <c r="C1475" s="2" t="s">
        <v>31</v>
      </c>
      <c r="D1475" s="2">
        <v>0.0</v>
      </c>
      <c r="E1475" s="2">
        <v>0.0</v>
      </c>
      <c r="F1475" s="2">
        <v>0.0</v>
      </c>
      <c r="G1475" s="2">
        <v>0.0</v>
      </c>
      <c r="H1475" s="2">
        <v>0.0</v>
      </c>
    </row>
    <row r="1476" ht="14.25" customHeight="1">
      <c r="A1476" s="2" t="s">
        <v>151</v>
      </c>
      <c r="B1476" s="2" t="s">
        <v>209</v>
      </c>
      <c r="C1476" s="2" t="s">
        <v>32</v>
      </c>
      <c r="D1476" s="2">
        <v>0.0</v>
      </c>
      <c r="E1476" s="2">
        <v>0.0</v>
      </c>
      <c r="F1476" s="2">
        <v>0.0</v>
      </c>
      <c r="G1476" s="2">
        <v>0.0</v>
      </c>
      <c r="H1476" s="2">
        <v>0.0</v>
      </c>
    </row>
    <row r="1477" ht="14.25" customHeight="1">
      <c r="A1477" s="2" t="s">
        <v>151</v>
      </c>
      <c r="B1477" s="2" t="s">
        <v>209</v>
      </c>
      <c r="C1477" s="2" t="s">
        <v>32</v>
      </c>
      <c r="D1477" s="2">
        <v>0.0</v>
      </c>
      <c r="E1477" s="2">
        <v>0.0</v>
      </c>
      <c r="F1477" s="2">
        <v>0.0</v>
      </c>
      <c r="G1477" s="2">
        <v>0.0</v>
      </c>
      <c r="H1477" s="2">
        <v>0.0</v>
      </c>
    </row>
    <row r="1478" ht="14.25" customHeight="1">
      <c r="A1478" s="2" t="s">
        <v>151</v>
      </c>
      <c r="B1478" s="2" t="s">
        <v>209</v>
      </c>
      <c r="C1478" s="2" t="s">
        <v>26</v>
      </c>
      <c r="D1478" s="2">
        <v>0.0</v>
      </c>
      <c r="E1478" s="2">
        <v>0.0</v>
      </c>
      <c r="F1478" s="2">
        <v>0.0</v>
      </c>
      <c r="G1478" s="2">
        <v>0.0</v>
      </c>
      <c r="H1478" s="2">
        <v>0.0</v>
      </c>
    </row>
    <row r="1479" ht="14.25" customHeight="1">
      <c r="A1479" s="2" t="s">
        <v>151</v>
      </c>
      <c r="B1479" s="2" t="s">
        <v>209</v>
      </c>
      <c r="C1479" s="2" t="s">
        <v>33</v>
      </c>
      <c r="D1479" s="2">
        <v>0.0</v>
      </c>
      <c r="E1479" s="2">
        <v>0.0</v>
      </c>
      <c r="F1479" s="2">
        <v>0.0</v>
      </c>
      <c r="G1479" s="2">
        <v>0.0</v>
      </c>
      <c r="H1479" s="2">
        <v>0.0</v>
      </c>
    </row>
    <row r="1480" ht="14.25" customHeight="1">
      <c r="A1480" s="2" t="s">
        <v>151</v>
      </c>
      <c r="B1480" s="2" t="s">
        <v>23</v>
      </c>
      <c r="C1480" s="2" t="s">
        <v>10</v>
      </c>
      <c r="D1480" s="2">
        <v>2495.858728933521</v>
      </c>
      <c r="E1480" s="2">
        <v>3.7777092399465</v>
      </c>
      <c r="F1480" s="2">
        <v>64501.65977921416</v>
      </c>
      <c r="G1480" s="2">
        <v>21.5317566134528</v>
      </c>
      <c r="H1480" s="2">
        <v>0.3281702767186921</v>
      </c>
      <c r="K1480" s="2">
        <f>D1480+'End of Life'!D837</f>
        <v>2645.548729</v>
      </c>
    </row>
    <row r="1481" ht="14.25" customHeight="1">
      <c r="A1481" s="2" t="s">
        <v>151</v>
      </c>
      <c r="B1481" s="2" t="s">
        <v>29</v>
      </c>
      <c r="C1481" s="2" t="s">
        <v>10</v>
      </c>
      <c r="D1481" s="2">
        <v>0.0</v>
      </c>
      <c r="E1481" s="2">
        <v>0.0</v>
      </c>
      <c r="F1481" s="2">
        <v>0.0</v>
      </c>
      <c r="G1481" s="2">
        <v>0.0</v>
      </c>
      <c r="H1481" s="2">
        <v>0.0</v>
      </c>
    </row>
    <row r="1482" ht="14.25" customHeight="1">
      <c r="A1482" s="2" t="s">
        <v>151</v>
      </c>
      <c r="B1482" s="2" t="s">
        <v>18</v>
      </c>
      <c r="C1482" s="2" t="s">
        <v>10</v>
      </c>
      <c r="D1482" s="2">
        <v>0.0</v>
      </c>
      <c r="E1482" s="2">
        <v>0.0</v>
      </c>
      <c r="F1482" s="2">
        <v>0.0</v>
      </c>
      <c r="G1482" s="2">
        <v>0.0</v>
      </c>
      <c r="H1482" s="2">
        <v>0.0</v>
      </c>
    </row>
    <row r="1483" ht="14.25" customHeight="1">
      <c r="A1483" s="2" t="s">
        <v>152</v>
      </c>
      <c r="B1483" s="2" t="s">
        <v>21</v>
      </c>
      <c r="C1483" s="2" t="s">
        <v>10</v>
      </c>
      <c r="D1483" s="2">
        <v>0.0</v>
      </c>
      <c r="E1483" s="2">
        <v>0.0</v>
      </c>
      <c r="F1483" s="2">
        <v>0.0</v>
      </c>
      <c r="G1483" s="2">
        <v>0.0</v>
      </c>
      <c r="H1483" s="2">
        <v>0.0</v>
      </c>
    </row>
    <row r="1484" ht="14.25" customHeight="1">
      <c r="A1484" s="2" t="s">
        <v>152</v>
      </c>
      <c r="B1484" s="2" t="s">
        <v>22</v>
      </c>
      <c r="C1484" s="2" t="s">
        <v>60</v>
      </c>
      <c r="D1484" s="2">
        <v>0.0</v>
      </c>
      <c r="E1484" s="2">
        <v>0.0</v>
      </c>
      <c r="F1484" s="2">
        <v>0.0</v>
      </c>
      <c r="G1484" s="2">
        <v>0.0</v>
      </c>
      <c r="H1484" s="2">
        <v>0.0</v>
      </c>
    </row>
    <row r="1485" ht="14.25" customHeight="1">
      <c r="A1485" s="2" t="s">
        <v>152</v>
      </c>
      <c r="B1485" s="2" t="s">
        <v>22</v>
      </c>
      <c r="C1485" s="2" t="s">
        <v>61</v>
      </c>
      <c r="D1485" s="2">
        <v>1072.31569158392</v>
      </c>
      <c r="E1485" s="2">
        <v>1.5287611358</v>
      </c>
      <c r="F1485" s="2">
        <v>29981.28159647424</v>
      </c>
      <c r="G1485" s="2">
        <v>9.50797530736</v>
      </c>
      <c r="H1485" s="2">
        <v>0.17700687817852</v>
      </c>
    </row>
    <row r="1486" ht="14.25" customHeight="1">
      <c r="A1486" s="2" t="s">
        <v>152</v>
      </c>
      <c r="B1486" s="2" t="s">
        <v>22</v>
      </c>
      <c r="C1486" s="2" t="s">
        <v>62</v>
      </c>
      <c r="D1486" s="2">
        <v>88.1024189184</v>
      </c>
      <c r="E1486" s="2">
        <v>0.300663312</v>
      </c>
      <c r="F1486" s="2">
        <v>1783.7124777648</v>
      </c>
      <c r="G1486" s="2">
        <v>1.1432528772</v>
      </c>
      <c r="H1486" s="2">
        <v>0.0022146770604</v>
      </c>
    </row>
    <row r="1487" ht="14.25" customHeight="1">
      <c r="A1487" s="2" t="s">
        <v>152</v>
      </c>
      <c r="B1487" s="2" t="s">
        <v>22</v>
      </c>
      <c r="C1487" s="2" t="s">
        <v>92</v>
      </c>
      <c r="D1487" s="2">
        <v>0.4522487025</v>
      </c>
      <c r="E1487" s="2">
        <v>0.001184305</v>
      </c>
      <c r="F1487" s="2">
        <v>99.080671752</v>
      </c>
      <c r="G1487" s="2">
        <v>0.001708495</v>
      </c>
      <c r="H1487" s="2">
        <v>1.685206475E-5</v>
      </c>
    </row>
    <row r="1488" ht="14.25" customHeight="1">
      <c r="A1488" s="2" t="s">
        <v>152</v>
      </c>
      <c r="B1488" s="2" t="s">
        <v>22</v>
      </c>
      <c r="C1488" s="2" t="s">
        <v>63</v>
      </c>
      <c r="D1488" s="2">
        <v>60.18706584177408</v>
      </c>
      <c r="E1488" s="2">
        <v>0.1281543766272</v>
      </c>
      <c r="F1488" s="2">
        <v>1475.359322432118</v>
      </c>
      <c r="G1488" s="2">
        <v>0.83202412385664</v>
      </c>
      <c r="H1488" s="2">
        <v>0.00370070551021248</v>
      </c>
    </row>
    <row r="1489" ht="14.25" customHeight="1">
      <c r="A1489" s="2" t="s">
        <v>152</v>
      </c>
      <c r="B1489" s="2" t="s">
        <v>22</v>
      </c>
      <c r="C1489" s="2" t="s">
        <v>153</v>
      </c>
      <c r="D1489" s="2">
        <v>70.59052338</v>
      </c>
      <c r="E1489" s="2">
        <v>0.90617436</v>
      </c>
      <c r="F1489" s="2">
        <v>10399.3945068</v>
      </c>
      <c r="G1489" s="2">
        <v>2.82911304</v>
      </c>
      <c r="H1489" s="2">
        <v>0.010240308</v>
      </c>
    </row>
    <row r="1490" ht="14.25" customHeight="1">
      <c r="A1490" s="2" t="s">
        <v>152</v>
      </c>
      <c r="B1490" s="2" t="s">
        <v>22</v>
      </c>
      <c r="C1490" s="2" t="s">
        <v>153</v>
      </c>
      <c r="D1490" s="2">
        <v>9.412069784</v>
      </c>
      <c r="E1490" s="2">
        <v>0.120823248</v>
      </c>
      <c r="F1490" s="2">
        <v>1386.58593424</v>
      </c>
      <c r="G1490" s="2">
        <v>0.377215072</v>
      </c>
      <c r="H1490" s="2">
        <v>0.0013653744</v>
      </c>
    </row>
    <row r="1491" ht="14.25" customHeight="1">
      <c r="A1491" s="2" t="s">
        <v>152</v>
      </c>
      <c r="B1491" s="2" t="s">
        <v>22</v>
      </c>
      <c r="C1491" s="2" t="s">
        <v>65</v>
      </c>
      <c r="D1491" s="2">
        <v>9.16500295217</v>
      </c>
      <c r="E1491" s="2">
        <v>0.11765163774</v>
      </c>
      <c r="F1491" s="2">
        <v>1350.1880534662</v>
      </c>
      <c r="G1491" s="2">
        <v>0.36731317636</v>
      </c>
      <c r="H1491" s="2">
        <v>0.001329533322</v>
      </c>
    </row>
    <row r="1492" ht="14.25" customHeight="1">
      <c r="A1492" s="2" t="s">
        <v>152</v>
      </c>
      <c r="B1492" s="2" t="s">
        <v>22</v>
      </c>
      <c r="C1492" s="2" t="s">
        <v>66</v>
      </c>
      <c r="D1492" s="2">
        <v>65.800890757728</v>
      </c>
      <c r="E1492" s="2">
        <v>0.86211976032</v>
      </c>
      <c r="F1492" s="2">
        <v>1715.025788458416</v>
      </c>
      <c r="G1492" s="2">
        <v>8.55304067089836</v>
      </c>
      <c r="H1492" s="2">
        <v>0.764426741348718</v>
      </c>
    </row>
    <row r="1493" ht="14.25" customHeight="1">
      <c r="A1493" s="2" t="s">
        <v>152</v>
      </c>
      <c r="B1493" s="2" t="s">
        <v>22</v>
      </c>
      <c r="C1493" s="2" t="s">
        <v>67</v>
      </c>
      <c r="D1493" s="2">
        <v>4.619550348</v>
      </c>
      <c r="E1493" s="2">
        <v>0.0561045966</v>
      </c>
      <c r="F1493" s="2">
        <v>659.39259491</v>
      </c>
      <c r="G1493" s="2">
        <v>0.1793604145</v>
      </c>
      <c r="H1493" s="2">
        <v>6.32869846E-4</v>
      </c>
    </row>
    <row r="1494" ht="14.25" customHeight="1">
      <c r="A1494" s="2" t="s">
        <v>152</v>
      </c>
      <c r="B1494" s="2" t="s">
        <v>22</v>
      </c>
      <c r="C1494" s="2" t="s">
        <v>68</v>
      </c>
      <c r="D1494" s="2">
        <v>0.0</v>
      </c>
      <c r="E1494" s="2">
        <v>0.0</v>
      </c>
      <c r="F1494" s="2">
        <v>0.0</v>
      </c>
      <c r="G1494" s="2">
        <v>0.0</v>
      </c>
      <c r="H1494" s="2">
        <v>0.0</v>
      </c>
    </row>
    <row r="1495" ht="14.25" customHeight="1">
      <c r="A1495" s="2" t="s">
        <v>152</v>
      </c>
      <c r="B1495" s="2" t="s">
        <v>214</v>
      </c>
      <c r="C1495" s="2" t="s">
        <v>60</v>
      </c>
      <c r="D1495" s="2">
        <v>0.0</v>
      </c>
      <c r="E1495" s="2">
        <v>0.0</v>
      </c>
      <c r="F1495" s="2">
        <v>0.0</v>
      </c>
      <c r="G1495" s="2">
        <v>0.0</v>
      </c>
      <c r="H1495" s="2">
        <v>0.0</v>
      </c>
    </row>
    <row r="1496" ht="14.25" customHeight="1">
      <c r="A1496" s="2" t="s">
        <v>152</v>
      </c>
      <c r="B1496" s="2" t="s">
        <v>214</v>
      </c>
      <c r="C1496" s="2" t="s">
        <v>61</v>
      </c>
      <c r="D1496" s="2">
        <v>0.0</v>
      </c>
      <c r="E1496" s="2">
        <v>0.0</v>
      </c>
      <c r="F1496" s="2">
        <v>0.0</v>
      </c>
      <c r="G1496" s="2">
        <v>0.0</v>
      </c>
      <c r="H1496" s="2">
        <v>0.0</v>
      </c>
    </row>
    <row r="1497" ht="14.25" customHeight="1">
      <c r="A1497" s="2" t="s">
        <v>152</v>
      </c>
      <c r="B1497" s="2" t="s">
        <v>214</v>
      </c>
      <c r="C1497" s="2" t="s">
        <v>62</v>
      </c>
      <c r="D1497" s="2">
        <v>0.0</v>
      </c>
      <c r="E1497" s="2">
        <v>0.0</v>
      </c>
      <c r="F1497" s="2">
        <v>0.0</v>
      </c>
      <c r="G1497" s="2">
        <v>0.0</v>
      </c>
      <c r="H1497" s="2">
        <v>0.0</v>
      </c>
    </row>
    <row r="1498" ht="14.25" customHeight="1">
      <c r="A1498" s="2" t="s">
        <v>152</v>
      </c>
      <c r="B1498" s="2" t="s">
        <v>214</v>
      </c>
      <c r="C1498" s="2" t="s">
        <v>92</v>
      </c>
      <c r="D1498" s="2">
        <v>0.0</v>
      </c>
      <c r="E1498" s="2">
        <v>0.0</v>
      </c>
      <c r="F1498" s="2">
        <v>0.0</v>
      </c>
      <c r="G1498" s="2">
        <v>0.0</v>
      </c>
      <c r="H1498" s="2">
        <v>0.0</v>
      </c>
    </row>
    <row r="1499" ht="14.25" customHeight="1">
      <c r="A1499" s="2" t="s">
        <v>152</v>
      </c>
      <c r="B1499" s="2" t="s">
        <v>214</v>
      </c>
      <c r="C1499" s="2" t="s">
        <v>63</v>
      </c>
      <c r="D1499" s="2">
        <v>0.0</v>
      </c>
      <c r="E1499" s="2">
        <v>0.0</v>
      </c>
      <c r="F1499" s="2">
        <v>0.0</v>
      </c>
      <c r="G1499" s="2">
        <v>0.0</v>
      </c>
      <c r="H1499" s="2">
        <v>0.0</v>
      </c>
    </row>
    <row r="1500" ht="14.25" customHeight="1">
      <c r="A1500" s="2" t="s">
        <v>152</v>
      </c>
      <c r="B1500" s="2" t="s">
        <v>214</v>
      </c>
      <c r="C1500" s="2" t="s">
        <v>153</v>
      </c>
      <c r="D1500" s="2">
        <v>0.0</v>
      </c>
      <c r="E1500" s="2">
        <v>0.0</v>
      </c>
      <c r="F1500" s="2">
        <v>0.0</v>
      </c>
      <c r="G1500" s="2">
        <v>0.0</v>
      </c>
      <c r="H1500" s="2">
        <v>0.0</v>
      </c>
    </row>
    <row r="1501" ht="14.25" customHeight="1">
      <c r="A1501" s="2" t="s">
        <v>152</v>
      </c>
      <c r="B1501" s="2" t="s">
        <v>214</v>
      </c>
      <c r="C1501" s="2" t="s">
        <v>153</v>
      </c>
      <c r="D1501" s="2">
        <v>0.0</v>
      </c>
      <c r="E1501" s="2">
        <v>0.0</v>
      </c>
      <c r="F1501" s="2">
        <v>0.0</v>
      </c>
      <c r="G1501" s="2">
        <v>0.0</v>
      </c>
      <c r="H1501" s="2">
        <v>0.0</v>
      </c>
    </row>
    <row r="1502" ht="14.25" customHeight="1">
      <c r="A1502" s="2" t="s">
        <v>152</v>
      </c>
      <c r="B1502" s="2" t="s">
        <v>214</v>
      </c>
      <c r="C1502" s="2" t="s">
        <v>65</v>
      </c>
      <c r="D1502" s="2">
        <v>0.0</v>
      </c>
      <c r="E1502" s="2">
        <v>0.0</v>
      </c>
      <c r="F1502" s="2">
        <v>0.0</v>
      </c>
      <c r="G1502" s="2">
        <v>0.0</v>
      </c>
      <c r="H1502" s="2">
        <v>0.0</v>
      </c>
    </row>
    <row r="1503" ht="14.25" customHeight="1">
      <c r="A1503" s="2" t="s">
        <v>152</v>
      </c>
      <c r="B1503" s="2" t="s">
        <v>214</v>
      </c>
      <c r="C1503" s="2" t="s">
        <v>66</v>
      </c>
      <c r="D1503" s="2">
        <v>0.0</v>
      </c>
      <c r="E1503" s="2">
        <v>0.0</v>
      </c>
      <c r="F1503" s="2">
        <v>0.0</v>
      </c>
      <c r="G1503" s="2">
        <v>0.0</v>
      </c>
      <c r="H1503" s="2">
        <v>0.0</v>
      </c>
    </row>
    <row r="1504" ht="14.25" customHeight="1">
      <c r="A1504" s="2" t="s">
        <v>152</v>
      </c>
      <c r="B1504" s="2" t="s">
        <v>214</v>
      </c>
      <c r="C1504" s="2" t="s">
        <v>67</v>
      </c>
      <c r="D1504" s="2">
        <v>0.0</v>
      </c>
      <c r="E1504" s="2">
        <v>0.0</v>
      </c>
      <c r="F1504" s="2">
        <v>0.0</v>
      </c>
      <c r="G1504" s="2">
        <v>0.0</v>
      </c>
      <c r="H1504" s="2">
        <v>0.0</v>
      </c>
    </row>
    <row r="1505" ht="14.25" customHeight="1">
      <c r="A1505" s="2" t="s">
        <v>152</v>
      </c>
      <c r="B1505" s="2" t="s">
        <v>214</v>
      </c>
      <c r="C1505" s="2" t="s">
        <v>68</v>
      </c>
      <c r="D1505" s="2">
        <v>0.0</v>
      </c>
      <c r="E1505" s="2">
        <v>0.0</v>
      </c>
      <c r="F1505" s="2">
        <v>0.0</v>
      </c>
      <c r="G1505" s="2">
        <v>0.0</v>
      </c>
      <c r="H1505" s="2">
        <v>0.0</v>
      </c>
    </row>
    <row r="1506" ht="14.25" customHeight="1">
      <c r="A1506" s="2" t="s">
        <v>152</v>
      </c>
      <c r="B1506" s="2" t="s">
        <v>22</v>
      </c>
      <c r="C1506" s="2" t="s">
        <v>10</v>
      </c>
      <c r="D1506" s="2">
        <v>1380.645462268492</v>
      </c>
      <c r="E1506" s="2">
        <v>4.0216367320872</v>
      </c>
      <c r="F1506" s="2">
        <v>48850.02094629777</v>
      </c>
      <c r="G1506" s="2">
        <v>23.791003177175</v>
      </c>
      <c r="H1506" s="2">
        <v>0.9609339397306005</v>
      </c>
    </row>
    <row r="1507" ht="14.25" customHeight="1">
      <c r="A1507" s="2" t="s">
        <v>154</v>
      </c>
      <c r="B1507" s="2" t="s">
        <v>38</v>
      </c>
      <c r="C1507" s="2" t="s">
        <v>39</v>
      </c>
      <c r="D1507" s="2">
        <v>276.9885434310259</v>
      </c>
      <c r="E1507" s="2">
        <v>9.8426509691328</v>
      </c>
      <c r="F1507" s="2">
        <v>4083.321542811114</v>
      </c>
      <c r="G1507" s="2">
        <v>2.23948777799136</v>
      </c>
      <c r="H1507" s="2">
        <v>0.01228821423131952</v>
      </c>
    </row>
    <row r="1508" ht="14.25" customHeight="1">
      <c r="A1508" s="2" t="s">
        <v>154</v>
      </c>
      <c r="B1508" s="2" t="s">
        <v>38</v>
      </c>
      <c r="C1508" s="2" t="s">
        <v>39</v>
      </c>
      <c r="D1508" s="2">
        <v>82.6644961467936</v>
      </c>
      <c r="E1508" s="2">
        <v>0.4086253226406</v>
      </c>
      <c r="F1508" s="2">
        <v>2083.974773290517</v>
      </c>
      <c r="G1508" s="2">
        <v>1.0488931953942</v>
      </c>
      <c r="H1508" s="2">
        <v>0.003012611557815601</v>
      </c>
    </row>
    <row r="1509" ht="14.25" customHeight="1">
      <c r="A1509" s="2" t="s">
        <v>154</v>
      </c>
      <c r="B1509" s="2" t="s">
        <v>38</v>
      </c>
      <c r="C1509" s="2" t="s">
        <v>39</v>
      </c>
      <c r="D1509" s="2">
        <v>278.342377681178</v>
      </c>
      <c r="E1509" s="2">
        <v>2.359668738541481</v>
      </c>
      <c r="F1509" s="2">
        <v>3707.849752745777</v>
      </c>
      <c r="G1509" s="2">
        <v>1.522759874571013</v>
      </c>
      <c r="H1509" s="2">
        <v>0.00604463086148045</v>
      </c>
    </row>
    <row r="1510" ht="14.25" customHeight="1">
      <c r="A1510" s="2" t="s">
        <v>154</v>
      </c>
      <c r="B1510" s="2" t="s">
        <v>38</v>
      </c>
      <c r="C1510" s="2" t="s">
        <v>16</v>
      </c>
      <c r="D1510" s="2">
        <v>0.97944860685168</v>
      </c>
      <c r="E1510" s="2">
        <v>0.0129116417472</v>
      </c>
      <c r="F1510" s="2">
        <v>25.59921727254696</v>
      </c>
      <c r="G1510" s="2">
        <v>0.1282812432186852</v>
      </c>
      <c r="H1510" s="2">
        <v>0.01146635241267033</v>
      </c>
    </row>
    <row r="1511" ht="14.25" customHeight="1">
      <c r="A1511" s="2" t="s">
        <v>154</v>
      </c>
      <c r="B1511" s="2" t="s">
        <v>38</v>
      </c>
      <c r="C1511" s="2" t="s">
        <v>17</v>
      </c>
      <c r="D1511" s="2">
        <v>0.27768753024</v>
      </c>
      <c r="E1511" s="2">
        <v>7.889846496E-4</v>
      </c>
      <c r="F1511" s="2">
        <v>7.97375790608</v>
      </c>
      <c r="G1511" s="2">
        <v>0.006175518088</v>
      </c>
      <c r="H1511" s="2">
        <v>1.9502880736E-5</v>
      </c>
    </row>
    <row r="1512" ht="14.25" customHeight="1">
      <c r="A1512" s="2" t="s">
        <v>154</v>
      </c>
      <c r="B1512" s="2" t="s">
        <v>211</v>
      </c>
      <c r="C1512" s="2" t="s">
        <v>39</v>
      </c>
      <c r="D1512" s="2">
        <v>0.0</v>
      </c>
      <c r="E1512" s="2">
        <v>0.0</v>
      </c>
      <c r="F1512" s="2">
        <v>0.0</v>
      </c>
      <c r="G1512" s="2">
        <v>0.0</v>
      </c>
      <c r="H1512" s="2">
        <v>0.0</v>
      </c>
    </row>
    <row r="1513" ht="14.25" customHeight="1">
      <c r="A1513" s="2" t="s">
        <v>154</v>
      </c>
      <c r="B1513" s="2" t="s">
        <v>211</v>
      </c>
      <c r="C1513" s="2" t="s">
        <v>39</v>
      </c>
      <c r="D1513" s="2">
        <v>0.0</v>
      </c>
      <c r="E1513" s="2">
        <v>0.0</v>
      </c>
      <c r="F1513" s="2">
        <v>0.0</v>
      </c>
      <c r="G1513" s="2">
        <v>0.0</v>
      </c>
      <c r="H1513" s="2">
        <v>0.0</v>
      </c>
    </row>
    <row r="1514" ht="14.25" customHeight="1">
      <c r="A1514" s="2" t="s">
        <v>154</v>
      </c>
      <c r="B1514" s="2" t="s">
        <v>211</v>
      </c>
      <c r="C1514" s="2" t="s">
        <v>39</v>
      </c>
      <c r="D1514" s="2">
        <v>0.0</v>
      </c>
      <c r="E1514" s="2">
        <v>0.0</v>
      </c>
      <c r="F1514" s="2">
        <v>0.0</v>
      </c>
      <c r="G1514" s="2">
        <v>0.0</v>
      </c>
      <c r="H1514" s="2">
        <v>0.0</v>
      </c>
    </row>
    <row r="1515" ht="14.25" customHeight="1">
      <c r="A1515" s="2" t="s">
        <v>154</v>
      </c>
      <c r="B1515" s="2" t="s">
        <v>211</v>
      </c>
      <c r="C1515" s="2" t="s">
        <v>16</v>
      </c>
      <c r="D1515" s="2">
        <v>0.0</v>
      </c>
      <c r="E1515" s="2">
        <v>0.0</v>
      </c>
      <c r="F1515" s="2">
        <v>0.0</v>
      </c>
      <c r="G1515" s="2">
        <v>0.0</v>
      </c>
      <c r="H1515" s="2">
        <v>0.0</v>
      </c>
    </row>
    <row r="1516" ht="14.25" customHeight="1">
      <c r="A1516" s="2" t="s">
        <v>154</v>
      </c>
      <c r="B1516" s="2" t="s">
        <v>211</v>
      </c>
      <c r="C1516" s="2" t="s">
        <v>17</v>
      </c>
      <c r="D1516" s="2">
        <v>0.0</v>
      </c>
      <c r="E1516" s="2">
        <v>0.0</v>
      </c>
      <c r="F1516" s="2">
        <v>0.0</v>
      </c>
      <c r="G1516" s="2">
        <v>0.0</v>
      </c>
      <c r="H1516" s="2">
        <v>0.0</v>
      </c>
    </row>
    <row r="1517" ht="14.25" customHeight="1">
      <c r="A1517" s="2" t="s">
        <v>154</v>
      </c>
      <c r="B1517" s="2" t="s">
        <v>38</v>
      </c>
      <c r="C1517" s="2" t="s">
        <v>10</v>
      </c>
      <c r="D1517" s="2">
        <v>639.2525533960892</v>
      </c>
      <c r="E1517" s="2">
        <v>12.62464565671168</v>
      </c>
      <c r="F1517" s="2">
        <v>9908.719044026035</v>
      </c>
      <c r="G1517" s="2">
        <v>4.945597609263258</v>
      </c>
      <c r="H1517" s="2">
        <v>0.0328313119440219</v>
      </c>
    </row>
    <row r="1518" ht="14.25" customHeight="1">
      <c r="A1518" s="2" t="s">
        <v>154</v>
      </c>
      <c r="B1518" s="2" t="s">
        <v>18</v>
      </c>
      <c r="C1518" s="2" t="s">
        <v>10</v>
      </c>
      <c r="D1518" s="2">
        <v>0.0</v>
      </c>
      <c r="E1518" s="2">
        <v>0.0</v>
      </c>
      <c r="F1518" s="2">
        <v>0.0</v>
      </c>
      <c r="G1518" s="2">
        <v>0.0</v>
      </c>
      <c r="H1518" s="2">
        <v>0.0</v>
      </c>
    </row>
    <row r="1519" ht="14.25" customHeight="1">
      <c r="A1519" s="2" t="s">
        <v>155</v>
      </c>
      <c r="B1519" s="2" t="s">
        <v>145</v>
      </c>
      <c r="C1519" s="2" t="s">
        <v>10</v>
      </c>
      <c r="D1519" s="2">
        <v>0.0</v>
      </c>
      <c r="E1519" s="2">
        <v>0.0</v>
      </c>
      <c r="F1519" s="2">
        <v>0.0</v>
      </c>
      <c r="G1519" s="2">
        <v>0.0</v>
      </c>
      <c r="H1519" s="2">
        <v>0.0</v>
      </c>
    </row>
    <row r="1520" ht="14.25" customHeight="1">
      <c r="A1520" s="2" t="s">
        <v>155</v>
      </c>
      <c r="B1520" s="2" t="s">
        <v>148</v>
      </c>
      <c r="C1520" s="2" t="s">
        <v>146</v>
      </c>
      <c r="D1520" s="2">
        <v>1291.421565271046</v>
      </c>
      <c r="E1520" s="2">
        <v>20.935850848008</v>
      </c>
      <c r="F1520" s="2">
        <v>26014.49176161862</v>
      </c>
      <c r="G1520" s="2">
        <v>14.0657944523832</v>
      </c>
      <c r="H1520" s="2">
        <v>0.1718935511273484</v>
      </c>
    </row>
    <row r="1521" ht="14.25" customHeight="1">
      <c r="A1521" s="2" t="s">
        <v>155</v>
      </c>
      <c r="B1521" s="2" t="s">
        <v>148</v>
      </c>
      <c r="C1521" s="2" t="s">
        <v>146</v>
      </c>
      <c r="D1521" s="2">
        <v>52.79096611872</v>
      </c>
      <c r="E1521" s="2">
        <v>3.1258770696</v>
      </c>
      <c r="F1521" s="2">
        <v>1078.80821180784</v>
      </c>
      <c r="G1521" s="2">
        <v>0.64094343156</v>
      </c>
      <c r="H1521" s="2">
        <v>0.00221483210382</v>
      </c>
    </row>
    <row r="1522" ht="14.25" customHeight="1">
      <c r="A1522" s="2" t="s">
        <v>155</v>
      </c>
      <c r="B1522" s="2" t="s">
        <v>148</v>
      </c>
      <c r="C1522" s="2" t="s">
        <v>147</v>
      </c>
      <c r="D1522" s="2">
        <v>8.395405104051262</v>
      </c>
      <c r="E1522" s="2">
        <v>0.08123195562471282</v>
      </c>
      <c r="F1522" s="2">
        <v>109.7846296010287</v>
      </c>
      <c r="G1522" s="2">
        <v>0.05215413644667045</v>
      </c>
      <c r="H1522" s="2">
        <v>2.074873748492094E-4</v>
      </c>
    </row>
    <row r="1523" ht="14.25" customHeight="1">
      <c r="A1523" s="2" t="s">
        <v>155</v>
      </c>
      <c r="B1523" s="2" t="s">
        <v>148</v>
      </c>
      <c r="C1523" s="2" t="s">
        <v>16</v>
      </c>
      <c r="D1523" s="2">
        <v>36.051802750656</v>
      </c>
      <c r="E1523" s="2">
        <v>0.47379636612</v>
      </c>
      <c r="F1523" s="2">
        <v>940.951075156092</v>
      </c>
      <c r="G1523" s="2">
        <v>4.703908672710324</v>
      </c>
      <c r="H1523" s="2">
        <v>0.4204338147698535</v>
      </c>
    </row>
    <row r="1524" ht="14.25" customHeight="1">
      <c r="A1524" s="2" t="s">
        <v>155</v>
      </c>
      <c r="B1524" s="2" t="s">
        <v>148</v>
      </c>
      <c r="C1524" s="2" t="s">
        <v>17</v>
      </c>
      <c r="D1524" s="2">
        <v>2.5407526914</v>
      </c>
      <c r="E1524" s="2">
        <v>0.03085752813</v>
      </c>
      <c r="F1524" s="2">
        <v>362.6659272005</v>
      </c>
      <c r="G1524" s="2">
        <v>0.098648227975</v>
      </c>
      <c r="H1524" s="2">
        <v>3.480784153E-4</v>
      </c>
    </row>
    <row r="1525" ht="14.25" customHeight="1">
      <c r="A1525" s="2" t="s">
        <v>155</v>
      </c>
      <c r="B1525" s="2" t="s">
        <v>225</v>
      </c>
      <c r="C1525" s="2" t="s">
        <v>146</v>
      </c>
      <c r="D1525" s="2">
        <v>0.0</v>
      </c>
      <c r="E1525" s="2">
        <v>0.0</v>
      </c>
      <c r="F1525" s="2">
        <v>0.0</v>
      </c>
      <c r="G1525" s="2">
        <v>0.0</v>
      </c>
      <c r="H1525" s="2">
        <v>0.0</v>
      </c>
    </row>
    <row r="1526" ht="14.25" customHeight="1">
      <c r="A1526" s="2" t="s">
        <v>155</v>
      </c>
      <c r="B1526" s="2" t="s">
        <v>225</v>
      </c>
      <c r="C1526" s="2" t="s">
        <v>146</v>
      </c>
      <c r="D1526" s="2">
        <v>0.0</v>
      </c>
      <c r="E1526" s="2">
        <v>0.0</v>
      </c>
      <c r="F1526" s="2">
        <v>0.0</v>
      </c>
      <c r="G1526" s="2">
        <v>0.0</v>
      </c>
      <c r="H1526" s="2">
        <v>0.0</v>
      </c>
    </row>
    <row r="1527" ht="14.25" customHeight="1">
      <c r="A1527" s="2" t="s">
        <v>155</v>
      </c>
      <c r="B1527" s="2" t="s">
        <v>225</v>
      </c>
      <c r="C1527" s="2" t="s">
        <v>147</v>
      </c>
      <c r="D1527" s="2">
        <v>0.0</v>
      </c>
      <c r="E1527" s="2">
        <v>0.0</v>
      </c>
      <c r="F1527" s="2">
        <v>0.0</v>
      </c>
      <c r="G1527" s="2">
        <v>0.0</v>
      </c>
      <c r="H1527" s="2">
        <v>0.0</v>
      </c>
    </row>
    <row r="1528" ht="14.25" customHeight="1">
      <c r="A1528" s="2" t="s">
        <v>155</v>
      </c>
      <c r="B1528" s="2" t="s">
        <v>225</v>
      </c>
      <c r="C1528" s="2" t="s">
        <v>16</v>
      </c>
      <c r="D1528" s="2">
        <v>0.0</v>
      </c>
      <c r="E1528" s="2">
        <v>0.0</v>
      </c>
      <c r="F1528" s="2">
        <v>0.0</v>
      </c>
      <c r="G1528" s="2">
        <v>0.0</v>
      </c>
      <c r="H1528" s="2">
        <v>0.0</v>
      </c>
    </row>
    <row r="1529" ht="14.25" customHeight="1">
      <c r="A1529" s="2" t="s">
        <v>155</v>
      </c>
      <c r="B1529" s="2" t="s">
        <v>225</v>
      </c>
      <c r="C1529" s="2" t="s">
        <v>17</v>
      </c>
      <c r="D1529" s="2">
        <v>0.0</v>
      </c>
      <c r="E1529" s="2">
        <v>0.0</v>
      </c>
      <c r="F1529" s="2">
        <v>0.0</v>
      </c>
      <c r="G1529" s="2">
        <v>0.0</v>
      </c>
      <c r="H1529" s="2">
        <v>0.0</v>
      </c>
    </row>
    <row r="1530" ht="14.25" customHeight="1">
      <c r="A1530" s="2" t="s">
        <v>155</v>
      </c>
      <c r="B1530" s="2" t="s">
        <v>148</v>
      </c>
      <c r="C1530" s="2" t="s">
        <v>10</v>
      </c>
      <c r="D1530" s="2">
        <v>1391.200491935874</v>
      </c>
      <c r="E1530" s="2">
        <v>24.64761376748271</v>
      </c>
      <c r="F1530" s="2">
        <v>28506.70160538408</v>
      </c>
      <c r="G1530" s="2">
        <v>19.56144892107519</v>
      </c>
      <c r="H1530" s="2">
        <v>0.5950977637911711</v>
      </c>
    </row>
    <row r="1531" ht="14.25" customHeight="1">
      <c r="A1531" s="2" t="s">
        <v>155</v>
      </c>
      <c r="B1531" s="2" t="s">
        <v>18</v>
      </c>
      <c r="C1531" s="2" t="s">
        <v>10</v>
      </c>
      <c r="D1531" s="2">
        <v>0.0</v>
      </c>
      <c r="E1531" s="2">
        <v>0.0</v>
      </c>
      <c r="F1531" s="2">
        <v>0.0</v>
      </c>
      <c r="G1531" s="2">
        <v>0.0</v>
      </c>
      <c r="H1531" s="2">
        <v>0.0</v>
      </c>
    </row>
    <row r="1532" ht="14.25" customHeight="1">
      <c r="A1532" s="2" t="s">
        <v>156</v>
      </c>
      <c r="B1532" s="2" t="s">
        <v>80</v>
      </c>
      <c r="C1532" s="2" t="s">
        <v>81</v>
      </c>
      <c r="D1532" s="2">
        <v>4685.867922755568</v>
      </c>
      <c r="E1532" s="2">
        <v>3.363093832254</v>
      </c>
      <c r="F1532" s="2">
        <v>63645.77515866108</v>
      </c>
      <c r="G1532" s="2">
        <v>28.4477096812883</v>
      </c>
      <c r="H1532" s="2">
        <v>0.1326055466961868</v>
      </c>
    </row>
    <row r="1533" ht="14.25" customHeight="1">
      <c r="A1533" s="2" t="s">
        <v>156</v>
      </c>
      <c r="B1533" s="2" t="s">
        <v>80</v>
      </c>
      <c r="C1533" s="2" t="s">
        <v>81</v>
      </c>
      <c r="D1533" s="2">
        <v>40.39554118799101</v>
      </c>
      <c r="E1533" s="2">
        <v>1.655381393303374</v>
      </c>
      <c r="F1533" s="2">
        <v>746.7795958370735</v>
      </c>
      <c r="G1533" s="2">
        <v>0.335769764611184</v>
      </c>
      <c r="H1533" s="2">
        <v>0.001491099249239116</v>
      </c>
    </row>
    <row r="1534" ht="14.25" customHeight="1">
      <c r="A1534" s="2" t="s">
        <v>156</v>
      </c>
      <c r="B1534" s="2" t="s">
        <v>80</v>
      </c>
      <c r="C1534" s="2" t="s">
        <v>16</v>
      </c>
      <c r="D1534" s="2">
        <v>32.77436613696</v>
      </c>
      <c r="E1534" s="2">
        <v>0.4307239692</v>
      </c>
      <c r="F1534" s="2">
        <v>855.41006832372</v>
      </c>
      <c r="G1534" s="2">
        <v>4.27628061155484</v>
      </c>
      <c r="H1534" s="2">
        <v>0.382212558881685</v>
      </c>
    </row>
    <row r="1535" ht="14.25" customHeight="1">
      <c r="A1535" s="2" t="s">
        <v>156</v>
      </c>
      <c r="B1535" s="2" t="s">
        <v>80</v>
      </c>
      <c r="C1535" s="2" t="s">
        <v>17</v>
      </c>
      <c r="D1535" s="2">
        <v>2.309775174</v>
      </c>
      <c r="E1535" s="2">
        <v>0.0280522983</v>
      </c>
      <c r="F1535" s="2">
        <v>329.696297455</v>
      </c>
      <c r="G1535" s="2">
        <v>0.08968020725</v>
      </c>
      <c r="H1535" s="2">
        <v>3.16434923E-4</v>
      </c>
    </row>
    <row r="1536" ht="14.25" customHeight="1">
      <c r="A1536" s="2" t="s">
        <v>156</v>
      </c>
      <c r="B1536" s="2" t="s">
        <v>217</v>
      </c>
      <c r="C1536" s="2" t="s">
        <v>81</v>
      </c>
      <c r="D1536" s="2">
        <v>0.0</v>
      </c>
      <c r="E1536" s="2">
        <v>0.0</v>
      </c>
      <c r="F1536" s="2">
        <v>0.0</v>
      </c>
      <c r="G1536" s="2">
        <v>0.0</v>
      </c>
      <c r="H1536" s="2">
        <v>0.0</v>
      </c>
    </row>
    <row r="1537" ht="14.25" customHeight="1">
      <c r="A1537" s="2" t="s">
        <v>156</v>
      </c>
      <c r="B1537" s="2" t="s">
        <v>217</v>
      </c>
      <c r="C1537" s="2" t="s">
        <v>81</v>
      </c>
      <c r="D1537" s="2">
        <v>0.0</v>
      </c>
      <c r="E1537" s="2">
        <v>0.0</v>
      </c>
      <c r="F1537" s="2">
        <v>0.0</v>
      </c>
      <c r="G1537" s="2">
        <v>0.0</v>
      </c>
      <c r="H1537" s="2">
        <v>0.0</v>
      </c>
    </row>
    <row r="1538" ht="14.25" customHeight="1">
      <c r="A1538" s="2" t="s">
        <v>156</v>
      </c>
      <c r="B1538" s="2" t="s">
        <v>217</v>
      </c>
      <c r="C1538" s="2" t="s">
        <v>16</v>
      </c>
      <c r="D1538" s="2">
        <v>0.0</v>
      </c>
      <c r="E1538" s="2">
        <v>0.0</v>
      </c>
      <c r="F1538" s="2">
        <v>0.0</v>
      </c>
      <c r="G1538" s="2">
        <v>0.0</v>
      </c>
      <c r="H1538" s="2">
        <v>0.0</v>
      </c>
    </row>
    <row r="1539" ht="14.25" customHeight="1">
      <c r="A1539" s="2" t="s">
        <v>156</v>
      </c>
      <c r="B1539" s="2" t="s">
        <v>217</v>
      </c>
      <c r="C1539" s="2" t="s">
        <v>17</v>
      </c>
      <c r="D1539" s="2">
        <v>0.0</v>
      </c>
      <c r="E1539" s="2">
        <v>0.0</v>
      </c>
      <c r="F1539" s="2">
        <v>0.0</v>
      </c>
      <c r="G1539" s="2">
        <v>0.0</v>
      </c>
      <c r="H1539" s="2">
        <v>0.0</v>
      </c>
    </row>
    <row r="1540" ht="14.25" customHeight="1">
      <c r="A1540" s="2" t="s">
        <v>156</v>
      </c>
      <c r="B1540" s="2" t="s">
        <v>80</v>
      </c>
      <c r="C1540" s="2" t="s">
        <v>10</v>
      </c>
      <c r="D1540" s="2">
        <v>4761.347605254518</v>
      </c>
      <c r="E1540" s="2">
        <v>5.477251493057373</v>
      </c>
      <c r="F1540" s="2">
        <v>65577.66112027687</v>
      </c>
      <c r="G1540" s="2">
        <v>33.14944026470432</v>
      </c>
      <c r="H1540" s="2">
        <v>0.516625639750111</v>
      </c>
    </row>
    <row r="1541" ht="14.25" customHeight="1">
      <c r="A1541" s="2" t="s">
        <v>156</v>
      </c>
      <c r="B1541" s="2" t="s">
        <v>18</v>
      </c>
      <c r="C1541" s="2" t="s">
        <v>82</v>
      </c>
      <c r="D1541" s="2">
        <v>0.0</v>
      </c>
      <c r="E1541" s="2">
        <v>0.0</v>
      </c>
      <c r="F1541" s="2">
        <v>0.0</v>
      </c>
      <c r="G1541" s="2">
        <v>0.0</v>
      </c>
      <c r="H1541" s="2">
        <v>0.0</v>
      </c>
    </row>
    <row r="1542" ht="14.25" customHeight="1">
      <c r="A1542" s="2" t="s">
        <v>156</v>
      </c>
      <c r="B1542" s="2" t="s">
        <v>218</v>
      </c>
      <c r="C1542" s="2" t="s">
        <v>82</v>
      </c>
      <c r="D1542" s="2">
        <v>0.0</v>
      </c>
      <c r="E1542" s="2">
        <v>0.0</v>
      </c>
      <c r="F1542" s="2">
        <v>0.0</v>
      </c>
      <c r="G1542" s="2">
        <v>0.0</v>
      </c>
      <c r="H1542" s="2">
        <v>0.0</v>
      </c>
    </row>
    <row r="1543" ht="14.25" customHeight="1">
      <c r="A1543" s="2" t="s">
        <v>156</v>
      </c>
      <c r="B1543" s="2" t="s">
        <v>18</v>
      </c>
      <c r="C1543" s="2" t="s">
        <v>10</v>
      </c>
      <c r="D1543" s="2">
        <v>0.0</v>
      </c>
      <c r="E1543" s="2">
        <v>0.0</v>
      </c>
      <c r="F1543" s="2">
        <v>0.0</v>
      </c>
      <c r="G1543" s="2">
        <v>0.0</v>
      </c>
      <c r="H1543" s="2">
        <v>0.0</v>
      </c>
    </row>
    <row r="1544" ht="14.25" customHeight="1">
      <c r="A1544" s="2" t="s">
        <v>157</v>
      </c>
      <c r="B1544" s="2" t="s">
        <v>9</v>
      </c>
      <c r="C1544" s="2" t="s">
        <v>10</v>
      </c>
      <c r="D1544" s="2">
        <v>0.0</v>
      </c>
      <c r="E1544" s="2">
        <v>0.0</v>
      </c>
      <c r="F1544" s="2">
        <v>0.0</v>
      </c>
      <c r="G1544" s="2">
        <v>0.0</v>
      </c>
      <c r="H1544" s="2">
        <v>0.0</v>
      </c>
    </row>
    <row r="1545" ht="14.25" customHeight="1">
      <c r="A1545" s="2" t="s">
        <v>157</v>
      </c>
      <c r="B1545" s="2" t="s">
        <v>11</v>
      </c>
      <c r="C1545" s="2" t="s">
        <v>12</v>
      </c>
      <c r="D1545" s="2">
        <v>47.6823787925157</v>
      </c>
      <c r="E1545" s="2">
        <v>0.01280752250031</v>
      </c>
      <c r="F1545" s="2">
        <v>624.405204415575</v>
      </c>
      <c r="G1545" s="2">
        <v>0.3399763370796</v>
      </c>
      <c r="H1545" s="2">
        <v>0.00153601899097464</v>
      </c>
    </row>
    <row r="1546" ht="14.25" customHeight="1">
      <c r="A1546" s="2" t="s">
        <v>157</v>
      </c>
      <c r="B1546" s="2" t="s">
        <v>11</v>
      </c>
      <c r="C1546" s="2" t="s">
        <v>12</v>
      </c>
      <c r="D1546" s="2">
        <v>9.7757859926799</v>
      </c>
      <c r="E1546" s="2">
        <v>0.01922049961317</v>
      </c>
      <c r="F1546" s="2">
        <v>274.017989739825</v>
      </c>
      <c r="G1546" s="2">
        <v>0.0906804267372</v>
      </c>
      <c r="H1546" s="2">
        <v>2.1841721568648E-4</v>
      </c>
    </row>
    <row r="1547" ht="14.25" customHeight="1">
      <c r="A1547" s="2" t="s">
        <v>157</v>
      </c>
      <c r="B1547" s="2" t="s">
        <v>11</v>
      </c>
      <c r="C1547" s="2" t="s">
        <v>12</v>
      </c>
      <c r="D1547" s="2">
        <v>0.10775938705884</v>
      </c>
      <c r="E1547" s="2">
        <v>3.362663733E-4</v>
      </c>
      <c r="F1547" s="2">
        <v>2.31957317114248</v>
      </c>
      <c r="G1547" s="2">
        <v>0.00118478529972</v>
      </c>
      <c r="H1547" s="2">
        <v>6.15566011434E-6</v>
      </c>
    </row>
    <row r="1548" ht="14.25" customHeight="1">
      <c r="A1548" s="2" t="s">
        <v>157</v>
      </c>
      <c r="B1548" s="2" t="s">
        <v>11</v>
      </c>
      <c r="C1548" s="2" t="s">
        <v>13</v>
      </c>
      <c r="D1548" s="2">
        <v>33.0578733312</v>
      </c>
      <c r="E1548" s="2">
        <v>0.15477812064</v>
      </c>
      <c r="F1548" s="2">
        <v>650.794915728</v>
      </c>
      <c r="G1548" s="2">
        <v>0.59077150896</v>
      </c>
      <c r="H1548" s="2">
        <v>0.00961055800944</v>
      </c>
    </row>
    <row r="1549" ht="14.25" customHeight="1">
      <c r="A1549" s="2" t="s">
        <v>157</v>
      </c>
      <c r="B1549" s="2" t="s">
        <v>11</v>
      </c>
      <c r="C1549" s="2" t="s">
        <v>14</v>
      </c>
      <c r="D1549" s="2">
        <v>7.2541499053614</v>
      </c>
      <c r="E1549" s="2">
        <v>0.0153862666115</v>
      </c>
      <c r="F1549" s="2">
        <v>160.4714162290108</v>
      </c>
      <c r="G1549" s="2">
        <v>0.0972203396312</v>
      </c>
      <c r="H1549" s="2">
        <v>3.906867322704E-4</v>
      </c>
    </row>
    <row r="1550" ht="14.25" customHeight="1">
      <c r="A1550" s="2" t="s">
        <v>157</v>
      </c>
      <c r="B1550" s="2" t="s">
        <v>11</v>
      </c>
      <c r="C1550" s="2" t="s">
        <v>15</v>
      </c>
      <c r="D1550" s="2">
        <v>0.929067738984</v>
      </c>
      <c r="E1550" s="2">
        <v>0.07689555636</v>
      </c>
      <c r="F1550" s="2">
        <v>18.762751729848</v>
      </c>
      <c r="G1550" s="2">
        <v>0.023677798242</v>
      </c>
      <c r="H1550" s="2">
        <v>5.3284618779E-5</v>
      </c>
    </row>
    <row r="1551" ht="14.25" customHeight="1">
      <c r="A1551" s="2" t="s">
        <v>157</v>
      </c>
      <c r="B1551" s="2" t="s">
        <v>11</v>
      </c>
      <c r="C1551" s="2" t="s">
        <v>16</v>
      </c>
      <c r="D1551" s="2">
        <v>9.832309841088</v>
      </c>
      <c r="E1551" s="2">
        <v>0.12921719076</v>
      </c>
      <c r="F1551" s="2">
        <v>256.623020497116</v>
      </c>
      <c r="G1551" s="2">
        <v>1.282884183466452</v>
      </c>
      <c r="H1551" s="2">
        <v>0.1146637676645055</v>
      </c>
    </row>
    <row r="1552" ht="14.25" customHeight="1">
      <c r="A1552" s="2" t="s">
        <v>157</v>
      </c>
      <c r="B1552" s="2" t="s">
        <v>11</v>
      </c>
      <c r="C1552" s="2" t="s">
        <v>17</v>
      </c>
      <c r="D1552" s="2">
        <v>3.106295217</v>
      </c>
      <c r="E1552" s="2">
        <v>0.00754954389</v>
      </c>
      <c r="F1552" s="2">
        <v>82.5184027965</v>
      </c>
      <c r="G1552" s="2">
        <v>0.060473147775</v>
      </c>
      <c r="H1552" s="2">
        <v>2.289750369E-4</v>
      </c>
    </row>
    <row r="1553" ht="14.25" customHeight="1">
      <c r="A1553" s="2" t="s">
        <v>157</v>
      </c>
      <c r="B1553" s="2" t="s">
        <v>208</v>
      </c>
      <c r="C1553" s="2" t="s">
        <v>12</v>
      </c>
      <c r="D1553" s="2">
        <v>0.0</v>
      </c>
      <c r="E1553" s="2">
        <v>0.0</v>
      </c>
      <c r="F1553" s="2">
        <v>0.0</v>
      </c>
      <c r="G1553" s="2">
        <v>0.0</v>
      </c>
      <c r="H1553" s="2">
        <v>0.0</v>
      </c>
    </row>
    <row r="1554" ht="14.25" customHeight="1">
      <c r="A1554" s="2" t="s">
        <v>157</v>
      </c>
      <c r="B1554" s="2" t="s">
        <v>208</v>
      </c>
      <c r="C1554" s="2" t="s">
        <v>12</v>
      </c>
      <c r="D1554" s="2">
        <v>0.0</v>
      </c>
      <c r="E1554" s="2">
        <v>0.0</v>
      </c>
      <c r="F1554" s="2">
        <v>0.0</v>
      </c>
      <c r="G1554" s="2">
        <v>0.0</v>
      </c>
      <c r="H1554" s="2">
        <v>0.0</v>
      </c>
    </row>
    <row r="1555" ht="14.25" customHeight="1">
      <c r="A1555" s="2" t="s">
        <v>157</v>
      </c>
      <c r="B1555" s="2" t="s">
        <v>208</v>
      </c>
      <c r="C1555" s="2" t="s">
        <v>12</v>
      </c>
      <c r="D1555" s="2">
        <v>0.0</v>
      </c>
      <c r="E1555" s="2">
        <v>0.0</v>
      </c>
      <c r="F1555" s="2">
        <v>0.0</v>
      </c>
      <c r="G1555" s="2">
        <v>0.0</v>
      </c>
      <c r="H1555" s="2">
        <v>0.0</v>
      </c>
    </row>
    <row r="1556" ht="14.25" customHeight="1">
      <c r="A1556" s="2" t="s">
        <v>157</v>
      </c>
      <c r="B1556" s="2" t="s">
        <v>208</v>
      </c>
      <c r="C1556" s="2" t="s">
        <v>13</v>
      </c>
      <c r="D1556" s="2">
        <v>0.0</v>
      </c>
      <c r="E1556" s="2">
        <v>0.0</v>
      </c>
      <c r="F1556" s="2">
        <v>0.0</v>
      </c>
      <c r="G1556" s="2">
        <v>0.0</v>
      </c>
      <c r="H1556" s="2">
        <v>0.0</v>
      </c>
    </row>
    <row r="1557" ht="14.25" customHeight="1">
      <c r="A1557" s="2" t="s">
        <v>157</v>
      </c>
      <c r="B1557" s="2" t="s">
        <v>208</v>
      </c>
      <c r="C1557" s="2" t="s">
        <v>14</v>
      </c>
      <c r="D1557" s="2">
        <v>0.0</v>
      </c>
      <c r="E1557" s="2">
        <v>0.0</v>
      </c>
      <c r="F1557" s="2">
        <v>0.0</v>
      </c>
      <c r="G1557" s="2">
        <v>0.0</v>
      </c>
      <c r="H1557" s="2">
        <v>0.0</v>
      </c>
    </row>
    <row r="1558" ht="14.25" customHeight="1">
      <c r="A1558" s="2" t="s">
        <v>157</v>
      </c>
      <c r="B1558" s="2" t="s">
        <v>208</v>
      </c>
      <c r="C1558" s="2" t="s">
        <v>15</v>
      </c>
      <c r="D1558" s="2">
        <v>0.0</v>
      </c>
      <c r="E1558" s="2">
        <v>0.0</v>
      </c>
      <c r="F1558" s="2">
        <v>0.0</v>
      </c>
      <c r="G1558" s="2">
        <v>0.0</v>
      </c>
      <c r="H1558" s="2">
        <v>0.0</v>
      </c>
    </row>
    <row r="1559" ht="14.25" customHeight="1">
      <c r="A1559" s="2" t="s">
        <v>157</v>
      </c>
      <c r="B1559" s="2" t="s">
        <v>208</v>
      </c>
      <c r="C1559" s="2" t="s">
        <v>16</v>
      </c>
      <c r="D1559" s="2">
        <v>0.0</v>
      </c>
      <c r="E1559" s="2">
        <v>0.0</v>
      </c>
      <c r="F1559" s="2">
        <v>0.0</v>
      </c>
      <c r="G1559" s="2">
        <v>0.0</v>
      </c>
      <c r="H1559" s="2">
        <v>0.0</v>
      </c>
    </row>
    <row r="1560" ht="14.25" customHeight="1">
      <c r="A1560" s="2" t="s">
        <v>157</v>
      </c>
      <c r="B1560" s="2" t="s">
        <v>208</v>
      </c>
      <c r="C1560" s="2" t="s">
        <v>17</v>
      </c>
      <c r="D1560" s="2">
        <v>0.0</v>
      </c>
      <c r="E1560" s="2">
        <v>0.0</v>
      </c>
      <c r="F1560" s="2">
        <v>0.0</v>
      </c>
      <c r="G1560" s="2">
        <v>0.0</v>
      </c>
      <c r="H1560" s="2">
        <v>0.0</v>
      </c>
    </row>
    <row r="1561" ht="14.25" customHeight="1">
      <c r="A1561" s="2" t="s">
        <v>157</v>
      </c>
      <c r="B1561" s="2" t="s">
        <v>11</v>
      </c>
      <c r="C1561" s="2" t="s">
        <v>10</v>
      </c>
      <c r="D1561" s="2">
        <v>111.7456202058878</v>
      </c>
      <c r="E1561" s="2">
        <v>0.41619096674828</v>
      </c>
      <c r="F1561" s="2">
        <v>2069.913274307017</v>
      </c>
      <c r="G1561" s="2">
        <v>2.486868527191172</v>
      </c>
      <c r="H1561" s="2">
        <v>0.1267078639286704</v>
      </c>
    </row>
    <row r="1562" ht="14.25" customHeight="1">
      <c r="A1562" s="2" t="s">
        <v>157</v>
      </c>
      <c r="B1562" s="2" t="s">
        <v>18</v>
      </c>
      <c r="C1562" s="2" t="s">
        <v>10</v>
      </c>
      <c r="D1562" s="2">
        <v>0.0</v>
      </c>
      <c r="E1562" s="2">
        <v>0.0</v>
      </c>
      <c r="F1562" s="2">
        <v>0.0</v>
      </c>
      <c r="G1562" s="2">
        <v>0.0</v>
      </c>
      <c r="H1562" s="2">
        <v>0.0</v>
      </c>
    </row>
    <row r="1563" ht="14.25" customHeight="1">
      <c r="A1563" s="2" t="s">
        <v>158</v>
      </c>
      <c r="B1563" s="2" t="s">
        <v>23</v>
      </c>
      <c r="C1563" s="2" t="s">
        <v>24</v>
      </c>
      <c r="D1563" s="2">
        <v>421.09551562288</v>
      </c>
      <c r="E1563" s="2">
        <v>0.6012666226</v>
      </c>
      <c r="F1563" s="2">
        <v>11765.13405509736</v>
      </c>
      <c r="G1563" s="2">
        <v>3.72854482154</v>
      </c>
      <c r="H1563" s="2">
        <v>0.06939151091453</v>
      </c>
    </row>
    <row r="1564" ht="14.25" customHeight="1">
      <c r="A1564" s="2" t="s">
        <v>158</v>
      </c>
      <c r="B1564" s="2" t="s">
        <v>23</v>
      </c>
      <c r="C1564" s="2" t="s">
        <v>25</v>
      </c>
      <c r="D1564" s="2">
        <v>18.87017579528</v>
      </c>
      <c r="E1564" s="2">
        <v>0.0641947908</v>
      </c>
      <c r="F1564" s="2">
        <v>381.07769319816</v>
      </c>
      <c r="G1564" s="2">
        <v>0.24186704474</v>
      </c>
      <c r="H1564" s="2">
        <v>4.6928639543E-4</v>
      </c>
    </row>
    <row r="1565" ht="14.25" customHeight="1">
      <c r="A1565" s="2" t="s">
        <v>158</v>
      </c>
      <c r="B1565" s="2" t="s">
        <v>23</v>
      </c>
      <c r="C1565" s="2" t="s">
        <v>25</v>
      </c>
      <c r="D1565" s="2">
        <v>17.3804250746</v>
      </c>
      <c r="E1565" s="2">
        <v>0.059126781</v>
      </c>
      <c r="F1565" s="2">
        <v>350.9926121562</v>
      </c>
      <c r="G1565" s="2">
        <v>0.22277227805</v>
      </c>
      <c r="H1565" s="2">
        <v>4.32237469475E-4</v>
      </c>
    </row>
    <row r="1566" ht="14.25" customHeight="1">
      <c r="A1566" s="2" t="s">
        <v>158</v>
      </c>
      <c r="B1566" s="2" t="s">
        <v>23</v>
      </c>
      <c r="C1566" s="2" t="s">
        <v>25</v>
      </c>
      <c r="D1566" s="2">
        <v>20.236849160768</v>
      </c>
      <c r="E1566" s="2">
        <v>0.06893488752</v>
      </c>
      <c r="F1566" s="2">
        <v>409.110015618096</v>
      </c>
      <c r="G1566" s="2">
        <v>0.260728335044</v>
      </c>
      <c r="H1566" s="2">
        <v>5.05542857108E-4</v>
      </c>
    </row>
    <row r="1567" ht="14.25" customHeight="1">
      <c r="A1567" s="2" t="s">
        <v>158</v>
      </c>
      <c r="B1567" s="2" t="s">
        <v>23</v>
      </c>
      <c r="C1567" s="2" t="s">
        <v>25</v>
      </c>
      <c r="D1567" s="2">
        <v>7.897306989568</v>
      </c>
      <c r="E1567" s="2">
        <v>0.02690141952</v>
      </c>
      <c r="F1567" s="2">
        <v>159.652689021696</v>
      </c>
      <c r="G1567" s="2">
        <v>0.101747642944</v>
      </c>
      <c r="H1567" s="2">
        <v>1.97285017408E-4</v>
      </c>
    </row>
    <row r="1568" ht="14.25" customHeight="1">
      <c r="A1568" s="2" t="s">
        <v>158</v>
      </c>
      <c r="B1568" s="2" t="s">
        <v>23</v>
      </c>
      <c r="C1568" s="2" t="s">
        <v>25</v>
      </c>
      <c r="D1568" s="2">
        <v>2.463905918624</v>
      </c>
      <c r="E1568" s="2">
        <v>0.00839602976</v>
      </c>
      <c r="F1568" s="2">
        <v>49.824708941328</v>
      </c>
      <c r="G1568" s="2">
        <v>0.031788545692</v>
      </c>
      <c r="H1568" s="2">
        <v>6.1625796744E-5</v>
      </c>
    </row>
    <row r="1569" ht="14.25" customHeight="1">
      <c r="A1569" s="2" t="s">
        <v>158</v>
      </c>
      <c r="B1569" s="2" t="s">
        <v>23</v>
      </c>
      <c r="C1569" s="2" t="s">
        <v>31</v>
      </c>
      <c r="D1569" s="2">
        <v>12.38903396521496</v>
      </c>
      <c r="E1569" s="2">
        <v>0.0041870174004</v>
      </c>
      <c r="F1569" s="2">
        <v>248.6146747957431</v>
      </c>
      <c r="G1569" s="2">
        <v>0.13510060725018</v>
      </c>
      <c r="H1569" s="2">
        <v>3.0295094834601E-4</v>
      </c>
    </row>
    <row r="1570" ht="14.25" customHeight="1">
      <c r="A1570" s="2" t="s">
        <v>158</v>
      </c>
      <c r="B1570" s="2" t="s">
        <v>23</v>
      </c>
      <c r="C1570" s="2" t="s">
        <v>31</v>
      </c>
      <c r="D1570" s="2">
        <v>4.3313804205832</v>
      </c>
      <c r="E1570" s="2">
        <v>9.23109168E-4</v>
      </c>
      <c r="F1570" s="2">
        <v>71.6194468362104</v>
      </c>
      <c r="G1570" s="2">
        <v>0.0169702116006</v>
      </c>
      <c r="H1570" s="2">
        <v>1.516664011867E-4</v>
      </c>
    </row>
    <row r="1571" ht="14.25" customHeight="1">
      <c r="A1571" s="2" t="s">
        <v>158</v>
      </c>
      <c r="B1571" s="2" t="s">
        <v>23</v>
      </c>
      <c r="C1571" s="2" t="s">
        <v>32</v>
      </c>
      <c r="D1571" s="2">
        <v>13.6705172688</v>
      </c>
      <c r="E1571" s="2">
        <v>0.0431388195</v>
      </c>
      <c r="F1571" s="2">
        <v>362.818320501</v>
      </c>
      <c r="G1571" s="2">
        <v>0.234914877</v>
      </c>
      <c r="H1571" s="2">
        <v>0.0011361417</v>
      </c>
    </row>
    <row r="1572" ht="14.25" customHeight="1">
      <c r="A1572" s="2" t="s">
        <v>158</v>
      </c>
      <c r="B1572" s="2" t="s">
        <v>23</v>
      </c>
      <c r="C1572" s="2" t="s">
        <v>32</v>
      </c>
      <c r="D1572" s="2">
        <v>5.30431197975</v>
      </c>
      <c r="E1572" s="2">
        <v>0.01784097225</v>
      </c>
      <c r="F1572" s="2">
        <v>145.6197579225</v>
      </c>
      <c r="G1572" s="2">
        <v>0.10828001025</v>
      </c>
      <c r="H1572" s="2">
        <v>5.035095E-4</v>
      </c>
    </row>
    <row r="1573" ht="14.25" customHeight="1">
      <c r="A1573" s="2" t="s">
        <v>158</v>
      </c>
      <c r="B1573" s="2" t="s">
        <v>23</v>
      </c>
      <c r="C1573" s="2" t="s">
        <v>26</v>
      </c>
      <c r="D1573" s="2">
        <v>57.869062251155</v>
      </c>
      <c r="E1573" s="2">
        <v>0.16458724984</v>
      </c>
      <c r="F1573" s="2">
        <v>1211.7141876555</v>
      </c>
      <c r="G1573" s="2">
        <v>0.86143371571</v>
      </c>
      <c r="H1573" s="2">
        <v>0.00404783839</v>
      </c>
    </row>
    <row r="1574" ht="14.25" customHeight="1">
      <c r="A1574" s="2" t="s">
        <v>158</v>
      </c>
      <c r="B1574" s="2" t="s">
        <v>23</v>
      </c>
      <c r="C1574" s="2" t="s">
        <v>33</v>
      </c>
      <c r="D1574" s="2">
        <v>16.02042878042</v>
      </c>
      <c r="E1574" s="2">
        <v>0.20565510924</v>
      </c>
      <c r="F1574" s="2">
        <v>2360.1292507612</v>
      </c>
      <c r="G1574" s="2">
        <v>0.64206357736</v>
      </c>
      <c r="H1574" s="2">
        <v>0.002324024772</v>
      </c>
    </row>
    <row r="1575" ht="14.25" customHeight="1">
      <c r="A1575" s="2" t="s">
        <v>158</v>
      </c>
      <c r="B1575" s="2" t="s">
        <v>209</v>
      </c>
      <c r="C1575" s="2" t="s">
        <v>24</v>
      </c>
      <c r="D1575" s="2">
        <v>0.0</v>
      </c>
      <c r="E1575" s="2">
        <v>0.0</v>
      </c>
      <c r="F1575" s="2">
        <v>0.0</v>
      </c>
      <c r="G1575" s="2">
        <v>0.0</v>
      </c>
      <c r="H1575" s="2">
        <v>0.0</v>
      </c>
    </row>
    <row r="1576" ht="14.25" customHeight="1">
      <c r="A1576" s="2" t="s">
        <v>158</v>
      </c>
      <c r="B1576" s="2" t="s">
        <v>209</v>
      </c>
      <c r="C1576" s="2" t="s">
        <v>25</v>
      </c>
      <c r="D1576" s="2">
        <v>0.0</v>
      </c>
      <c r="E1576" s="2">
        <v>0.0</v>
      </c>
      <c r="F1576" s="2">
        <v>0.0</v>
      </c>
      <c r="G1576" s="2">
        <v>0.0</v>
      </c>
      <c r="H1576" s="2">
        <v>0.0</v>
      </c>
    </row>
    <row r="1577" ht="14.25" customHeight="1">
      <c r="A1577" s="2" t="s">
        <v>158</v>
      </c>
      <c r="B1577" s="2" t="s">
        <v>209</v>
      </c>
      <c r="C1577" s="2" t="s">
        <v>25</v>
      </c>
      <c r="D1577" s="2">
        <v>0.0</v>
      </c>
      <c r="E1577" s="2">
        <v>0.0</v>
      </c>
      <c r="F1577" s="2">
        <v>0.0</v>
      </c>
      <c r="G1577" s="2">
        <v>0.0</v>
      </c>
      <c r="H1577" s="2">
        <v>0.0</v>
      </c>
    </row>
    <row r="1578" ht="14.25" customHeight="1">
      <c r="A1578" s="2" t="s">
        <v>158</v>
      </c>
      <c r="B1578" s="2" t="s">
        <v>209</v>
      </c>
      <c r="C1578" s="2" t="s">
        <v>25</v>
      </c>
      <c r="D1578" s="2">
        <v>0.0</v>
      </c>
      <c r="E1578" s="2">
        <v>0.0</v>
      </c>
      <c r="F1578" s="2">
        <v>0.0</v>
      </c>
      <c r="G1578" s="2">
        <v>0.0</v>
      </c>
      <c r="H1578" s="2">
        <v>0.0</v>
      </c>
    </row>
    <row r="1579" ht="14.25" customHeight="1">
      <c r="A1579" s="2" t="s">
        <v>158</v>
      </c>
      <c r="B1579" s="2" t="s">
        <v>209</v>
      </c>
      <c r="C1579" s="2" t="s">
        <v>25</v>
      </c>
      <c r="D1579" s="2">
        <v>0.0</v>
      </c>
      <c r="E1579" s="2">
        <v>0.0</v>
      </c>
      <c r="F1579" s="2">
        <v>0.0</v>
      </c>
      <c r="G1579" s="2">
        <v>0.0</v>
      </c>
      <c r="H1579" s="2">
        <v>0.0</v>
      </c>
    </row>
    <row r="1580" ht="14.25" customHeight="1">
      <c r="A1580" s="2" t="s">
        <v>158</v>
      </c>
      <c r="B1580" s="2" t="s">
        <v>209</v>
      </c>
      <c r="C1580" s="2" t="s">
        <v>25</v>
      </c>
      <c r="D1580" s="2">
        <v>0.0</v>
      </c>
      <c r="E1580" s="2">
        <v>0.0</v>
      </c>
      <c r="F1580" s="2">
        <v>0.0</v>
      </c>
      <c r="G1580" s="2">
        <v>0.0</v>
      </c>
      <c r="H1580" s="2">
        <v>0.0</v>
      </c>
    </row>
    <row r="1581" ht="14.25" customHeight="1">
      <c r="A1581" s="2" t="s">
        <v>158</v>
      </c>
      <c r="B1581" s="2" t="s">
        <v>209</v>
      </c>
      <c r="C1581" s="2" t="s">
        <v>31</v>
      </c>
      <c r="D1581" s="2">
        <v>0.0</v>
      </c>
      <c r="E1581" s="2">
        <v>0.0</v>
      </c>
      <c r="F1581" s="2">
        <v>0.0</v>
      </c>
      <c r="G1581" s="2">
        <v>0.0</v>
      </c>
      <c r="H1581" s="2">
        <v>0.0</v>
      </c>
    </row>
    <row r="1582" ht="14.25" customHeight="1">
      <c r="A1582" s="2" t="s">
        <v>158</v>
      </c>
      <c r="B1582" s="2" t="s">
        <v>209</v>
      </c>
      <c r="C1582" s="2" t="s">
        <v>31</v>
      </c>
      <c r="D1582" s="2">
        <v>0.0</v>
      </c>
      <c r="E1582" s="2">
        <v>0.0</v>
      </c>
      <c r="F1582" s="2">
        <v>0.0</v>
      </c>
      <c r="G1582" s="2">
        <v>0.0</v>
      </c>
      <c r="H1582" s="2">
        <v>0.0</v>
      </c>
    </row>
    <row r="1583" ht="14.25" customHeight="1">
      <c r="A1583" s="2" t="s">
        <v>158</v>
      </c>
      <c r="B1583" s="2" t="s">
        <v>209</v>
      </c>
      <c r="C1583" s="2" t="s">
        <v>32</v>
      </c>
      <c r="D1583" s="2">
        <v>0.0</v>
      </c>
      <c r="E1583" s="2">
        <v>0.0</v>
      </c>
      <c r="F1583" s="2">
        <v>0.0</v>
      </c>
      <c r="G1583" s="2">
        <v>0.0</v>
      </c>
      <c r="H1583" s="2">
        <v>0.0</v>
      </c>
    </row>
    <row r="1584" ht="14.25" customHeight="1">
      <c r="A1584" s="2" t="s">
        <v>158</v>
      </c>
      <c r="B1584" s="2" t="s">
        <v>209</v>
      </c>
      <c r="C1584" s="2" t="s">
        <v>32</v>
      </c>
      <c r="D1584" s="2">
        <v>0.0</v>
      </c>
      <c r="E1584" s="2">
        <v>0.0</v>
      </c>
      <c r="F1584" s="2">
        <v>0.0</v>
      </c>
      <c r="G1584" s="2">
        <v>0.0</v>
      </c>
      <c r="H1584" s="2">
        <v>0.0</v>
      </c>
    </row>
    <row r="1585" ht="14.25" customHeight="1">
      <c r="A1585" s="2" t="s">
        <v>158</v>
      </c>
      <c r="B1585" s="2" t="s">
        <v>209</v>
      </c>
      <c r="C1585" s="2" t="s">
        <v>26</v>
      </c>
      <c r="D1585" s="2">
        <v>0.0</v>
      </c>
      <c r="E1585" s="2">
        <v>0.0</v>
      </c>
      <c r="F1585" s="2">
        <v>0.0</v>
      </c>
      <c r="G1585" s="2">
        <v>0.0</v>
      </c>
      <c r="H1585" s="2">
        <v>0.0</v>
      </c>
    </row>
    <row r="1586" ht="14.25" customHeight="1">
      <c r="A1586" s="2" t="s">
        <v>158</v>
      </c>
      <c r="B1586" s="2" t="s">
        <v>209</v>
      </c>
      <c r="C1586" s="2" t="s">
        <v>33</v>
      </c>
      <c r="D1586" s="2">
        <v>0.0</v>
      </c>
      <c r="E1586" s="2">
        <v>0.0</v>
      </c>
      <c r="F1586" s="2">
        <v>0.0</v>
      </c>
      <c r="G1586" s="2">
        <v>0.0</v>
      </c>
      <c r="H1586" s="2">
        <v>0.0</v>
      </c>
    </row>
    <row r="1587" ht="14.25" customHeight="1">
      <c r="A1587" s="2" t="s">
        <v>158</v>
      </c>
      <c r="B1587" s="2" t="s">
        <v>23</v>
      </c>
      <c r="C1587" s="2" t="s">
        <v>10</v>
      </c>
      <c r="D1587" s="2">
        <v>597.5289132276432</v>
      </c>
      <c r="E1587" s="2">
        <v>1.2651528085984</v>
      </c>
      <c r="F1587" s="2">
        <v>17516.30741250499</v>
      </c>
      <c r="G1587" s="2">
        <v>6.58621166718078</v>
      </c>
      <c r="H1587" s="2">
        <v>0.0795236201622277</v>
      </c>
    </row>
    <row r="1588" ht="14.25" customHeight="1">
      <c r="A1588" s="2" t="s">
        <v>158</v>
      </c>
      <c r="B1588" s="2" t="s">
        <v>29</v>
      </c>
      <c r="C1588" s="2" t="s">
        <v>34</v>
      </c>
      <c r="D1588" s="2">
        <v>0.0</v>
      </c>
      <c r="E1588" s="2">
        <v>0.0</v>
      </c>
      <c r="F1588" s="2">
        <v>0.0</v>
      </c>
      <c r="G1588" s="2">
        <v>0.0</v>
      </c>
      <c r="H1588" s="2">
        <v>0.0</v>
      </c>
    </row>
    <row r="1589" ht="14.25" customHeight="1">
      <c r="A1589" s="2" t="s">
        <v>158</v>
      </c>
      <c r="B1589" s="2" t="s">
        <v>29</v>
      </c>
      <c r="C1589" s="2" t="s">
        <v>35</v>
      </c>
      <c r="D1589" s="2">
        <v>7.40372530272</v>
      </c>
      <c r="E1589" s="2">
        <v>0.0252200808</v>
      </c>
      <c r="F1589" s="2">
        <v>149.67439595784</v>
      </c>
      <c r="G1589" s="2">
        <v>0.09538841526</v>
      </c>
      <c r="H1589" s="2">
        <v>1.8495470382E-4</v>
      </c>
    </row>
    <row r="1590" ht="14.25" customHeight="1">
      <c r="A1590" s="2" t="s">
        <v>158</v>
      </c>
      <c r="B1590" s="2" t="s">
        <v>29</v>
      </c>
      <c r="C1590" s="2" t="s">
        <v>35</v>
      </c>
      <c r="D1590" s="2">
        <v>19.74326747392</v>
      </c>
      <c r="E1590" s="2">
        <v>0.0672535488</v>
      </c>
      <c r="F1590" s="2">
        <v>399.13172255424</v>
      </c>
      <c r="G1590" s="2">
        <v>0.25436910736</v>
      </c>
      <c r="H1590" s="2">
        <v>4.9321254352E-4</v>
      </c>
    </row>
    <row r="1591" ht="14.25" customHeight="1">
      <c r="A1591" s="2" t="s">
        <v>158</v>
      </c>
      <c r="B1591" s="2" t="s">
        <v>29</v>
      </c>
      <c r="C1591" s="2" t="s">
        <v>36</v>
      </c>
      <c r="D1591" s="2">
        <v>0.06870501495</v>
      </c>
      <c r="E1591" s="2">
        <v>1.77130125E-5</v>
      </c>
      <c r="F1591" s="2">
        <v>1.0966308755625</v>
      </c>
      <c r="G1591" s="2">
        <v>0.00171537586875</v>
      </c>
      <c r="H1591" s="2">
        <v>1.84021875E-5</v>
      </c>
    </row>
    <row r="1592" ht="14.25" customHeight="1">
      <c r="A1592" s="2" t="s">
        <v>158</v>
      </c>
      <c r="B1592" s="2" t="s">
        <v>210</v>
      </c>
      <c r="C1592" s="2" t="s">
        <v>34</v>
      </c>
      <c r="D1592" s="2">
        <v>0.0</v>
      </c>
      <c r="E1592" s="2">
        <v>0.0</v>
      </c>
      <c r="F1592" s="2">
        <v>0.0</v>
      </c>
      <c r="G1592" s="2">
        <v>0.0</v>
      </c>
      <c r="H1592" s="2">
        <v>0.0</v>
      </c>
    </row>
    <row r="1593" ht="14.25" customHeight="1">
      <c r="A1593" s="2" t="s">
        <v>158</v>
      </c>
      <c r="B1593" s="2" t="s">
        <v>210</v>
      </c>
      <c r="C1593" s="2" t="s">
        <v>35</v>
      </c>
      <c r="D1593" s="2">
        <v>0.0</v>
      </c>
      <c r="E1593" s="2">
        <v>0.0</v>
      </c>
      <c r="F1593" s="2">
        <v>0.0</v>
      </c>
      <c r="G1593" s="2">
        <v>0.0</v>
      </c>
      <c r="H1593" s="2">
        <v>0.0</v>
      </c>
    </row>
    <row r="1594" ht="14.25" customHeight="1">
      <c r="A1594" s="2" t="s">
        <v>158</v>
      </c>
      <c r="B1594" s="2" t="s">
        <v>210</v>
      </c>
      <c r="C1594" s="2" t="s">
        <v>35</v>
      </c>
      <c r="D1594" s="2">
        <v>0.0</v>
      </c>
      <c r="E1594" s="2">
        <v>0.0</v>
      </c>
      <c r="F1594" s="2">
        <v>0.0</v>
      </c>
      <c r="G1594" s="2">
        <v>0.0</v>
      </c>
      <c r="H1594" s="2">
        <v>0.0</v>
      </c>
    </row>
    <row r="1595" ht="14.25" customHeight="1">
      <c r="A1595" s="2" t="s">
        <v>158</v>
      </c>
      <c r="B1595" s="2" t="s">
        <v>210</v>
      </c>
      <c r="C1595" s="2" t="s">
        <v>36</v>
      </c>
      <c r="D1595" s="2">
        <v>0.0</v>
      </c>
      <c r="E1595" s="2">
        <v>0.0</v>
      </c>
      <c r="F1595" s="2">
        <v>0.0</v>
      </c>
      <c r="G1595" s="2">
        <v>0.0</v>
      </c>
      <c r="H1595" s="2">
        <v>0.0</v>
      </c>
    </row>
    <row r="1596" ht="14.25" customHeight="1">
      <c r="A1596" s="2" t="s">
        <v>158</v>
      </c>
      <c r="B1596" s="2" t="s">
        <v>29</v>
      </c>
      <c r="C1596" s="2" t="s">
        <v>10</v>
      </c>
      <c r="D1596" s="2">
        <v>27.21569779159</v>
      </c>
      <c r="E1596" s="2">
        <v>0.0924913426125</v>
      </c>
      <c r="F1596" s="2">
        <v>549.9027493876425</v>
      </c>
      <c r="G1596" s="2">
        <v>0.35147289848875</v>
      </c>
      <c r="H1596" s="2">
        <v>6.9656943484E-4</v>
      </c>
    </row>
    <row r="1597" ht="14.25" customHeight="1">
      <c r="A1597" s="2" t="s">
        <v>158</v>
      </c>
      <c r="B1597" s="2" t="s">
        <v>18</v>
      </c>
      <c r="C1597" s="2" t="s">
        <v>10</v>
      </c>
      <c r="D1597" s="2">
        <v>0.0</v>
      </c>
      <c r="E1597" s="2">
        <v>0.0</v>
      </c>
      <c r="F1597" s="2">
        <v>0.0</v>
      </c>
      <c r="G1597" s="2">
        <v>0.0</v>
      </c>
      <c r="H1597" s="2">
        <v>0.0</v>
      </c>
    </row>
    <row r="1598" ht="14.25" customHeight="1">
      <c r="A1598" s="2" t="s">
        <v>159</v>
      </c>
      <c r="B1598" s="2" t="s">
        <v>23</v>
      </c>
      <c r="C1598" s="2" t="s">
        <v>24</v>
      </c>
      <c r="D1598" s="2">
        <v>10532.47008912</v>
      </c>
      <c r="E1598" s="2">
        <v>13.4201216</v>
      </c>
      <c r="F1598" s="2">
        <v>270861.94643464</v>
      </c>
      <c r="G1598" s="2">
        <v>77.37642766</v>
      </c>
      <c r="H1598" s="2">
        <v>1.42399408397</v>
      </c>
    </row>
    <row r="1599" ht="14.25" customHeight="1">
      <c r="A1599" s="2" t="s">
        <v>159</v>
      </c>
      <c r="B1599" s="2" t="s">
        <v>23</v>
      </c>
      <c r="C1599" s="2" t="s">
        <v>24</v>
      </c>
      <c r="D1599" s="2">
        <v>2191.4154384456</v>
      </c>
      <c r="E1599" s="2">
        <v>3.129040587</v>
      </c>
      <c r="F1599" s="2">
        <v>61226.7180418332</v>
      </c>
      <c r="G1599" s="2">
        <v>19.4036516223</v>
      </c>
      <c r="H1599" s="2">
        <v>0.36111908741235</v>
      </c>
    </row>
    <row r="1600" ht="14.25" customHeight="1">
      <c r="A1600" s="2" t="s">
        <v>159</v>
      </c>
      <c r="B1600" s="2" t="s">
        <v>23</v>
      </c>
      <c r="C1600" s="2" t="s">
        <v>25</v>
      </c>
      <c r="D1600" s="2">
        <v>496.58357356</v>
      </c>
      <c r="E1600" s="2">
        <v>1.6893366</v>
      </c>
      <c r="F1600" s="2">
        <v>10028.36034732</v>
      </c>
      <c r="G1600" s="2">
        <v>6.36492223</v>
      </c>
      <c r="H1600" s="2">
        <v>0.012349641985</v>
      </c>
    </row>
    <row r="1601" ht="14.25" customHeight="1">
      <c r="A1601" s="2" t="s">
        <v>159</v>
      </c>
      <c r="B1601" s="2" t="s">
        <v>23</v>
      </c>
      <c r="C1601" s="2" t="s">
        <v>32</v>
      </c>
      <c r="D1601" s="2">
        <v>37.0046760552</v>
      </c>
      <c r="E1601" s="2">
        <v>0.11677232175</v>
      </c>
      <c r="F1601" s="2">
        <v>982.1116606665</v>
      </c>
      <c r="G1601" s="2">
        <v>0.6358902705</v>
      </c>
      <c r="H1601" s="2">
        <v>0.00307541805</v>
      </c>
    </row>
    <row r="1602" ht="14.25" customHeight="1">
      <c r="A1602" s="2" t="s">
        <v>159</v>
      </c>
      <c r="B1602" s="2" t="s">
        <v>23</v>
      </c>
      <c r="C1602" s="2" t="s">
        <v>32</v>
      </c>
      <c r="D1602" s="2">
        <v>4.714943982</v>
      </c>
      <c r="E1602" s="2">
        <v>0.015858642</v>
      </c>
      <c r="F1602" s="2">
        <v>129.43978482</v>
      </c>
      <c r="G1602" s="2">
        <v>0.096248898</v>
      </c>
      <c r="H1602" s="2">
        <v>4.47564E-4</v>
      </c>
    </row>
    <row r="1603" ht="14.25" customHeight="1">
      <c r="A1603" s="2" t="s">
        <v>159</v>
      </c>
      <c r="B1603" s="2" t="s">
        <v>23</v>
      </c>
      <c r="C1603" s="2" t="s">
        <v>26</v>
      </c>
      <c r="D1603" s="2">
        <v>43.40179668836625</v>
      </c>
      <c r="E1603" s="2">
        <v>0.12344043738</v>
      </c>
      <c r="F1603" s="2">
        <v>908.785640741625</v>
      </c>
      <c r="G1603" s="2">
        <v>0.6460752867825</v>
      </c>
      <c r="H1603" s="2">
        <v>0.0030358787925</v>
      </c>
    </row>
    <row r="1604" ht="14.25" customHeight="1">
      <c r="A1604" s="2" t="s">
        <v>159</v>
      </c>
      <c r="B1604" s="2" t="s">
        <v>23</v>
      </c>
      <c r="C1604" s="2" t="s">
        <v>33</v>
      </c>
      <c r="D1604" s="2">
        <v>13.99411875673</v>
      </c>
      <c r="E1604" s="2">
        <v>0.17964325806</v>
      </c>
      <c r="F1604" s="2">
        <v>2061.6132981878</v>
      </c>
      <c r="G1604" s="2">
        <v>0.56085352484</v>
      </c>
      <c r="H1604" s="2">
        <v>0.002030075418</v>
      </c>
    </row>
    <row r="1605" ht="14.25" customHeight="1">
      <c r="A1605" s="2" t="s">
        <v>159</v>
      </c>
      <c r="B1605" s="2" t="s">
        <v>23</v>
      </c>
      <c r="C1605" s="2" t="s">
        <v>33</v>
      </c>
      <c r="D1605" s="2">
        <v>13.99411875673</v>
      </c>
      <c r="E1605" s="2">
        <v>0.17964325806</v>
      </c>
      <c r="F1605" s="2">
        <v>2061.6132981878</v>
      </c>
      <c r="G1605" s="2">
        <v>0.56085352484</v>
      </c>
      <c r="H1605" s="2">
        <v>0.002030075418</v>
      </c>
    </row>
    <row r="1606" ht="14.25" customHeight="1">
      <c r="A1606" s="2" t="s">
        <v>159</v>
      </c>
      <c r="B1606" s="2" t="s">
        <v>209</v>
      </c>
      <c r="C1606" s="2" t="s">
        <v>24</v>
      </c>
      <c r="D1606" s="2">
        <v>0.0</v>
      </c>
      <c r="E1606" s="2">
        <v>0.0</v>
      </c>
      <c r="F1606" s="2">
        <v>0.0</v>
      </c>
      <c r="G1606" s="2">
        <v>0.0</v>
      </c>
      <c r="H1606" s="2">
        <v>0.0</v>
      </c>
    </row>
    <row r="1607" ht="14.25" customHeight="1">
      <c r="A1607" s="2" t="s">
        <v>159</v>
      </c>
      <c r="B1607" s="2" t="s">
        <v>209</v>
      </c>
      <c r="C1607" s="2" t="s">
        <v>24</v>
      </c>
      <c r="D1607" s="2">
        <v>0.0</v>
      </c>
      <c r="E1607" s="2">
        <v>0.0</v>
      </c>
      <c r="F1607" s="2">
        <v>0.0</v>
      </c>
      <c r="G1607" s="2">
        <v>0.0</v>
      </c>
      <c r="H1607" s="2">
        <v>0.0</v>
      </c>
    </row>
    <row r="1608" ht="14.25" customHeight="1">
      <c r="A1608" s="2" t="s">
        <v>159</v>
      </c>
      <c r="B1608" s="2" t="s">
        <v>209</v>
      </c>
      <c r="C1608" s="2" t="s">
        <v>25</v>
      </c>
      <c r="D1608" s="2">
        <v>0.0</v>
      </c>
      <c r="E1608" s="2">
        <v>0.0</v>
      </c>
      <c r="F1608" s="2">
        <v>0.0</v>
      </c>
      <c r="G1608" s="2">
        <v>0.0</v>
      </c>
      <c r="H1608" s="2">
        <v>0.0</v>
      </c>
    </row>
    <row r="1609" ht="14.25" customHeight="1">
      <c r="A1609" s="2" t="s">
        <v>159</v>
      </c>
      <c r="B1609" s="2" t="s">
        <v>209</v>
      </c>
      <c r="C1609" s="2" t="s">
        <v>32</v>
      </c>
      <c r="D1609" s="2">
        <v>0.0</v>
      </c>
      <c r="E1609" s="2">
        <v>0.0</v>
      </c>
      <c r="F1609" s="2">
        <v>0.0</v>
      </c>
      <c r="G1609" s="2">
        <v>0.0</v>
      </c>
      <c r="H1609" s="2">
        <v>0.0</v>
      </c>
    </row>
    <row r="1610" ht="14.25" customHeight="1">
      <c r="A1610" s="2" t="s">
        <v>159</v>
      </c>
      <c r="B1610" s="2" t="s">
        <v>209</v>
      </c>
      <c r="C1610" s="2" t="s">
        <v>32</v>
      </c>
      <c r="D1610" s="2">
        <v>0.0</v>
      </c>
      <c r="E1610" s="2">
        <v>0.0</v>
      </c>
      <c r="F1610" s="2">
        <v>0.0</v>
      </c>
      <c r="G1610" s="2">
        <v>0.0</v>
      </c>
      <c r="H1610" s="2">
        <v>0.0</v>
      </c>
    </row>
    <row r="1611" ht="14.25" customHeight="1">
      <c r="A1611" s="2" t="s">
        <v>159</v>
      </c>
      <c r="B1611" s="2" t="s">
        <v>209</v>
      </c>
      <c r="C1611" s="2" t="s">
        <v>26</v>
      </c>
      <c r="D1611" s="2">
        <v>0.0</v>
      </c>
      <c r="E1611" s="2">
        <v>0.0</v>
      </c>
      <c r="F1611" s="2">
        <v>0.0</v>
      </c>
      <c r="G1611" s="2">
        <v>0.0</v>
      </c>
      <c r="H1611" s="2">
        <v>0.0</v>
      </c>
    </row>
    <row r="1612" ht="14.25" customHeight="1">
      <c r="A1612" s="2" t="s">
        <v>159</v>
      </c>
      <c r="B1612" s="2" t="s">
        <v>209</v>
      </c>
      <c r="C1612" s="2" t="s">
        <v>33</v>
      </c>
      <c r="D1612" s="2">
        <v>0.0</v>
      </c>
      <c r="E1612" s="2">
        <v>0.0</v>
      </c>
      <c r="F1612" s="2">
        <v>0.0</v>
      </c>
      <c r="G1612" s="2">
        <v>0.0</v>
      </c>
      <c r="H1612" s="2">
        <v>0.0</v>
      </c>
    </row>
    <row r="1613" ht="14.25" customHeight="1">
      <c r="A1613" s="2" t="s">
        <v>159</v>
      </c>
      <c r="B1613" s="2" t="s">
        <v>209</v>
      </c>
      <c r="C1613" s="2" t="s">
        <v>33</v>
      </c>
      <c r="D1613" s="2">
        <v>0.0</v>
      </c>
      <c r="E1613" s="2">
        <v>0.0</v>
      </c>
      <c r="F1613" s="2">
        <v>0.0</v>
      </c>
      <c r="G1613" s="2">
        <v>0.0</v>
      </c>
      <c r="H1613" s="2">
        <v>0.0</v>
      </c>
    </row>
    <row r="1614" ht="14.25" customHeight="1">
      <c r="A1614" s="2" t="s">
        <v>159</v>
      </c>
      <c r="B1614" s="2" t="s">
        <v>23</v>
      </c>
      <c r="C1614" s="2" t="s">
        <v>10</v>
      </c>
      <c r="D1614" s="2">
        <v>13333.57875536463</v>
      </c>
      <c r="E1614" s="2">
        <v>18.85385670425</v>
      </c>
      <c r="F1614" s="2">
        <v>348260.5885063969</v>
      </c>
      <c r="G1614" s="2">
        <v>105.6449230172625</v>
      </c>
      <c r="H1614" s="2">
        <v>1.80808182504585</v>
      </c>
    </row>
    <row r="1615" ht="14.25" customHeight="1">
      <c r="A1615" s="2" t="s">
        <v>159</v>
      </c>
      <c r="B1615" s="2" t="s">
        <v>29</v>
      </c>
      <c r="C1615" s="2" t="s">
        <v>34</v>
      </c>
      <c r="D1615" s="2">
        <v>193.22510084316</v>
      </c>
      <c r="E1615" s="2">
        <v>0.2757319119</v>
      </c>
      <c r="F1615" s="2">
        <v>5400.10444652352</v>
      </c>
      <c r="G1615" s="2">
        <v>1.71183065328</v>
      </c>
      <c r="H1615" s="2">
        <v>0.03186257911146</v>
      </c>
    </row>
    <row r="1616" ht="14.25" customHeight="1">
      <c r="A1616" s="2" t="s">
        <v>159</v>
      </c>
      <c r="B1616" s="2" t="s">
        <v>29</v>
      </c>
      <c r="C1616" s="2" t="s">
        <v>35</v>
      </c>
      <c r="D1616" s="2">
        <v>24.6790843424</v>
      </c>
      <c r="E1616" s="2">
        <v>0.084066936</v>
      </c>
      <c r="F1616" s="2">
        <v>498.9146531928</v>
      </c>
      <c r="G1616" s="2">
        <v>0.3179613842</v>
      </c>
      <c r="H1616" s="2">
        <v>6.165156794E-4</v>
      </c>
    </row>
    <row r="1617" ht="14.25" customHeight="1">
      <c r="A1617" s="2" t="s">
        <v>159</v>
      </c>
      <c r="B1617" s="2" t="s">
        <v>29</v>
      </c>
      <c r="C1617" s="2" t="s">
        <v>35</v>
      </c>
      <c r="D1617" s="2">
        <v>9.87163373696</v>
      </c>
      <c r="E1617" s="2">
        <v>0.0336267744</v>
      </c>
      <c r="F1617" s="2">
        <v>199.56586127712</v>
      </c>
      <c r="G1617" s="2">
        <v>0.12718455368</v>
      </c>
      <c r="H1617" s="2">
        <v>2.4660627176E-4</v>
      </c>
    </row>
    <row r="1618" ht="14.25" customHeight="1">
      <c r="A1618" s="2" t="s">
        <v>159</v>
      </c>
      <c r="B1618" s="2" t="s">
        <v>29</v>
      </c>
      <c r="C1618" s="2" t="s">
        <v>35</v>
      </c>
      <c r="D1618" s="2">
        <v>2.0927714023488</v>
      </c>
      <c r="E1618" s="2">
        <v>0.008365173912</v>
      </c>
      <c r="F1618" s="2">
        <v>40.4052212655936</v>
      </c>
      <c r="G1618" s="2">
        <v>0.0250877330304</v>
      </c>
      <c r="H1618" s="2">
        <v>4.95039560928E-5</v>
      </c>
    </row>
    <row r="1619" ht="14.25" customHeight="1">
      <c r="A1619" s="2" t="s">
        <v>159</v>
      </c>
      <c r="B1619" s="2" t="s">
        <v>29</v>
      </c>
      <c r="C1619" s="2" t="s">
        <v>36</v>
      </c>
      <c r="D1619" s="2">
        <v>0.1374100299</v>
      </c>
      <c r="E1619" s="2">
        <v>3.5426025E-5</v>
      </c>
      <c r="F1619" s="2">
        <v>2.193261751125</v>
      </c>
      <c r="G1619" s="2">
        <v>0.0034307517375</v>
      </c>
      <c r="H1619" s="2">
        <v>3.6804375E-5</v>
      </c>
    </row>
    <row r="1620" ht="14.25" customHeight="1">
      <c r="A1620" s="2" t="s">
        <v>159</v>
      </c>
      <c r="B1620" s="2" t="s">
        <v>210</v>
      </c>
      <c r="C1620" s="2" t="s">
        <v>34</v>
      </c>
      <c r="D1620" s="2">
        <v>0.0</v>
      </c>
      <c r="E1620" s="2">
        <v>0.0</v>
      </c>
      <c r="F1620" s="2">
        <v>0.0</v>
      </c>
      <c r="G1620" s="2">
        <v>0.0</v>
      </c>
      <c r="H1620" s="2">
        <v>0.0</v>
      </c>
    </row>
    <row r="1621" ht="14.25" customHeight="1">
      <c r="A1621" s="2" t="s">
        <v>159</v>
      </c>
      <c r="B1621" s="2" t="s">
        <v>210</v>
      </c>
      <c r="C1621" s="2" t="s">
        <v>35</v>
      </c>
      <c r="D1621" s="2">
        <v>0.0</v>
      </c>
      <c r="E1621" s="2">
        <v>0.0</v>
      </c>
      <c r="F1621" s="2">
        <v>0.0</v>
      </c>
      <c r="G1621" s="2">
        <v>0.0</v>
      </c>
      <c r="H1621" s="2">
        <v>0.0</v>
      </c>
    </row>
    <row r="1622" ht="14.25" customHeight="1">
      <c r="A1622" s="2" t="s">
        <v>159</v>
      </c>
      <c r="B1622" s="2" t="s">
        <v>210</v>
      </c>
      <c r="C1622" s="2" t="s">
        <v>35</v>
      </c>
      <c r="D1622" s="2">
        <v>0.0</v>
      </c>
      <c r="E1622" s="2">
        <v>0.0</v>
      </c>
      <c r="F1622" s="2">
        <v>0.0</v>
      </c>
      <c r="G1622" s="2">
        <v>0.0</v>
      </c>
      <c r="H1622" s="2">
        <v>0.0</v>
      </c>
    </row>
    <row r="1623" ht="14.25" customHeight="1">
      <c r="A1623" s="2" t="s">
        <v>159</v>
      </c>
      <c r="B1623" s="2" t="s">
        <v>210</v>
      </c>
      <c r="C1623" s="2" t="s">
        <v>35</v>
      </c>
      <c r="D1623" s="2">
        <v>0.0</v>
      </c>
      <c r="E1623" s="2">
        <v>0.0</v>
      </c>
      <c r="F1623" s="2">
        <v>0.0</v>
      </c>
      <c r="G1623" s="2">
        <v>0.0</v>
      </c>
      <c r="H1623" s="2">
        <v>0.0</v>
      </c>
    </row>
    <row r="1624" ht="14.25" customHeight="1">
      <c r="A1624" s="2" t="s">
        <v>159</v>
      </c>
      <c r="B1624" s="2" t="s">
        <v>210</v>
      </c>
      <c r="C1624" s="2" t="s">
        <v>36</v>
      </c>
      <c r="D1624" s="2">
        <v>0.0</v>
      </c>
      <c r="E1624" s="2">
        <v>0.0</v>
      </c>
      <c r="F1624" s="2">
        <v>0.0</v>
      </c>
      <c r="G1624" s="2">
        <v>0.0</v>
      </c>
      <c r="H1624" s="2">
        <v>0.0</v>
      </c>
    </row>
    <row r="1625" ht="14.25" customHeight="1">
      <c r="A1625" s="2" t="s">
        <v>159</v>
      </c>
      <c r="B1625" s="2" t="s">
        <v>29</v>
      </c>
      <c r="C1625" s="2" t="s">
        <v>10</v>
      </c>
      <c r="D1625" s="2">
        <v>230.0060003547688</v>
      </c>
      <c r="E1625" s="2">
        <v>0.401826222237</v>
      </c>
      <c r="F1625" s="2">
        <v>6141.183444010158</v>
      </c>
      <c r="G1625" s="2">
        <v>2.1854950759279</v>
      </c>
      <c r="H1625" s="2">
        <v>0.0328120093937128</v>
      </c>
    </row>
    <row r="1626" ht="14.25" customHeight="1">
      <c r="A1626" s="2" t="s">
        <v>159</v>
      </c>
      <c r="B1626" s="2" t="s">
        <v>18</v>
      </c>
      <c r="C1626" s="2" t="s">
        <v>10</v>
      </c>
      <c r="D1626" s="2">
        <v>0.0</v>
      </c>
      <c r="E1626" s="2">
        <v>0.0</v>
      </c>
      <c r="F1626" s="2">
        <v>0.0</v>
      </c>
      <c r="G1626" s="2">
        <v>0.0</v>
      </c>
      <c r="H1626" s="2">
        <v>0.0</v>
      </c>
    </row>
    <row r="1627" ht="14.25" customHeight="1">
      <c r="A1627" s="2" t="s">
        <v>160</v>
      </c>
      <c r="B1627" s="2" t="s">
        <v>80</v>
      </c>
      <c r="C1627" s="2" t="s">
        <v>81</v>
      </c>
      <c r="D1627" s="2">
        <v>664.1048018513337</v>
      </c>
      <c r="E1627" s="2">
        <v>6.424019116009612</v>
      </c>
      <c r="F1627" s="2">
        <v>8681.811157746011</v>
      </c>
      <c r="G1627" s="2">
        <v>4.123442964244886</v>
      </c>
      <c r="H1627" s="2">
        <v>0.01640669148385035</v>
      </c>
    </row>
    <row r="1628" ht="14.25" customHeight="1">
      <c r="A1628" s="2" t="s">
        <v>160</v>
      </c>
      <c r="B1628" s="2" t="s">
        <v>80</v>
      </c>
      <c r="C1628" s="2" t="s">
        <v>81</v>
      </c>
      <c r="D1628" s="2">
        <v>1120.65726640328</v>
      </c>
      <c r="E1628" s="2">
        <v>0.80441944877462</v>
      </c>
      <c r="F1628" s="2">
        <v>15219.38415776866</v>
      </c>
      <c r="G1628" s="2">
        <v>6.8019188234046</v>
      </c>
      <c r="H1628" s="2">
        <v>0.03170835963033508</v>
      </c>
    </row>
    <row r="1629" ht="14.25" customHeight="1">
      <c r="A1629" s="2" t="s">
        <v>160</v>
      </c>
      <c r="B1629" s="2" t="s">
        <v>80</v>
      </c>
      <c r="C1629" s="2" t="s">
        <v>81</v>
      </c>
      <c r="D1629" s="2">
        <v>336.7811895382964</v>
      </c>
      <c r="E1629" s="2">
        <v>13.79276184439101</v>
      </c>
      <c r="F1629" s="2">
        <v>6222.273266591621</v>
      </c>
      <c r="G1629" s="2">
        <v>2.796746485613216</v>
      </c>
      <c r="H1629" s="2">
        <v>0.01242251816369274</v>
      </c>
    </row>
    <row r="1630" ht="14.25" customHeight="1">
      <c r="A1630" s="2" t="s">
        <v>160</v>
      </c>
      <c r="B1630" s="2" t="s">
        <v>80</v>
      </c>
      <c r="C1630" s="2" t="s">
        <v>81</v>
      </c>
      <c r="D1630" s="2">
        <v>0.2177395168842</v>
      </c>
      <c r="E1630" s="2">
        <v>0.001071667429805</v>
      </c>
      <c r="F1630" s="2">
        <v>5.464549509841248</v>
      </c>
      <c r="G1630" s="2">
        <v>0.002740600505765</v>
      </c>
      <c r="H1630" s="2">
        <v>7.876484408080002E-6</v>
      </c>
    </row>
    <row r="1631" ht="14.25" customHeight="1">
      <c r="A1631" s="2" t="s">
        <v>160</v>
      </c>
      <c r="B1631" s="2" t="s">
        <v>80</v>
      </c>
      <c r="C1631" s="2" t="s">
        <v>16</v>
      </c>
      <c r="D1631" s="2">
        <v>32.85073225602</v>
      </c>
      <c r="E1631" s="2">
        <v>0.430835122242</v>
      </c>
      <c r="F1631" s="2">
        <v>855.47828813076</v>
      </c>
      <c r="G1631" s="2">
        <v>4.27597133258484</v>
      </c>
      <c r="H1631" s="2">
        <v>0.382212137988828</v>
      </c>
    </row>
    <row r="1632" ht="14.25" customHeight="1">
      <c r="A1632" s="2" t="s">
        <v>160</v>
      </c>
      <c r="B1632" s="2" t="s">
        <v>80</v>
      </c>
      <c r="C1632" s="2" t="s">
        <v>17</v>
      </c>
      <c r="D1632" s="2">
        <v>10.35431739</v>
      </c>
      <c r="E1632" s="2">
        <v>0.0251651463</v>
      </c>
      <c r="F1632" s="2">
        <v>275.061342655</v>
      </c>
      <c r="G1632" s="2">
        <v>0.20157715925</v>
      </c>
      <c r="H1632" s="2">
        <v>7.63250123E-4</v>
      </c>
    </row>
    <row r="1633" ht="14.25" customHeight="1">
      <c r="A1633" s="2" t="s">
        <v>160</v>
      </c>
      <c r="B1633" s="2" t="s">
        <v>217</v>
      </c>
      <c r="C1633" s="2" t="s">
        <v>81</v>
      </c>
      <c r="D1633" s="2">
        <v>0.0</v>
      </c>
      <c r="E1633" s="2">
        <v>0.0</v>
      </c>
      <c r="F1633" s="2">
        <v>0.0</v>
      </c>
      <c r="G1633" s="2">
        <v>0.0</v>
      </c>
      <c r="H1633" s="2">
        <v>0.0</v>
      </c>
    </row>
    <row r="1634" ht="14.25" customHeight="1">
      <c r="A1634" s="2" t="s">
        <v>160</v>
      </c>
      <c r="B1634" s="2" t="s">
        <v>217</v>
      </c>
      <c r="C1634" s="2" t="s">
        <v>81</v>
      </c>
      <c r="D1634" s="2">
        <v>0.0</v>
      </c>
      <c r="E1634" s="2">
        <v>0.0</v>
      </c>
      <c r="F1634" s="2">
        <v>0.0</v>
      </c>
      <c r="G1634" s="2">
        <v>0.0</v>
      </c>
      <c r="H1634" s="2">
        <v>0.0</v>
      </c>
    </row>
    <row r="1635" ht="14.25" customHeight="1">
      <c r="A1635" s="2" t="s">
        <v>160</v>
      </c>
      <c r="B1635" s="2" t="s">
        <v>217</v>
      </c>
      <c r="C1635" s="2" t="s">
        <v>81</v>
      </c>
      <c r="D1635" s="2">
        <v>0.0</v>
      </c>
      <c r="E1635" s="2">
        <v>0.0</v>
      </c>
      <c r="F1635" s="2">
        <v>0.0</v>
      </c>
      <c r="G1635" s="2">
        <v>0.0</v>
      </c>
      <c r="H1635" s="2">
        <v>0.0</v>
      </c>
    </row>
    <row r="1636" ht="14.25" customHeight="1">
      <c r="A1636" s="2" t="s">
        <v>160</v>
      </c>
      <c r="B1636" s="2" t="s">
        <v>217</v>
      </c>
      <c r="C1636" s="2" t="s">
        <v>81</v>
      </c>
      <c r="D1636" s="2">
        <v>0.0</v>
      </c>
      <c r="E1636" s="2">
        <v>0.0</v>
      </c>
      <c r="F1636" s="2">
        <v>0.0</v>
      </c>
      <c r="G1636" s="2">
        <v>0.0</v>
      </c>
      <c r="H1636" s="2">
        <v>0.0</v>
      </c>
    </row>
    <row r="1637" ht="14.25" customHeight="1">
      <c r="A1637" s="2" t="s">
        <v>160</v>
      </c>
      <c r="B1637" s="2" t="s">
        <v>217</v>
      </c>
      <c r="C1637" s="2" t="s">
        <v>16</v>
      </c>
      <c r="D1637" s="2">
        <v>0.0</v>
      </c>
      <c r="E1637" s="2">
        <v>0.0</v>
      </c>
      <c r="F1637" s="2">
        <v>0.0</v>
      </c>
      <c r="G1637" s="2">
        <v>0.0</v>
      </c>
      <c r="H1637" s="2">
        <v>0.0</v>
      </c>
    </row>
    <row r="1638" ht="14.25" customHeight="1">
      <c r="A1638" s="2" t="s">
        <v>160</v>
      </c>
      <c r="B1638" s="2" t="s">
        <v>217</v>
      </c>
      <c r="C1638" s="2" t="s">
        <v>17</v>
      </c>
      <c r="D1638" s="2">
        <v>0.0</v>
      </c>
      <c r="E1638" s="2">
        <v>0.0</v>
      </c>
      <c r="F1638" s="2">
        <v>0.0</v>
      </c>
      <c r="G1638" s="2">
        <v>0.0</v>
      </c>
      <c r="H1638" s="2">
        <v>0.0</v>
      </c>
    </row>
    <row r="1639" ht="14.25" customHeight="1">
      <c r="A1639" s="2" t="s">
        <v>160</v>
      </c>
      <c r="B1639" s="2" t="s">
        <v>80</v>
      </c>
      <c r="C1639" s="2" t="s">
        <v>10</v>
      </c>
      <c r="D1639" s="2">
        <v>2164.966046955814</v>
      </c>
      <c r="E1639" s="2">
        <v>21.47827234514704</v>
      </c>
      <c r="F1639" s="2">
        <v>31259.4727624019</v>
      </c>
      <c r="G1639" s="2">
        <v>18.20239736560331</v>
      </c>
      <c r="H1639" s="2">
        <v>0.4435208338741142</v>
      </c>
    </row>
    <row r="1640" ht="14.25" customHeight="1">
      <c r="A1640" s="2" t="s">
        <v>160</v>
      </c>
      <c r="B1640" s="2" t="s">
        <v>18</v>
      </c>
      <c r="C1640" s="2" t="s">
        <v>82</v>
      </c>
      <c r="D1640" s="2">
        <v>0.0</v>
      </c>
      <c r="E1640" s="2">
        <v>0.0</v>
      </c>
      <c r="F1640" s="2">
        <v>0.0</v>
      </c>
      <c r="G1640" s="2">
        <v>0.0</v>
      </c>
      <c r="H1640" s="2">
        <v>0.0</v>
      </c>
    </row>
    <row r="1641" ht="14.25" customHeight="1">
      <c r="A1641" s="2" t="s">
        <v>160</v>
      </c>
      <c r="B1641" s="2" t="s">
        <v>218</v>
      </c>
      <c r="C1641" s="2" t="s">
        <v>82</v>
      </c>
      <c r="D1641" s="2">
        <v>0.0</v>
      </c>
      <c r="E1641" s="2">
        <v>0.0</v>
      </c>
      <c r="F1641" s="2">
        <v>0.0</v>
      </c>
      <c r="G1641" s="2">
        <v>0.0</v>
      </c>
      <c r="H1641" s="2">
        <v>0.0</v>
      </c>
    </row>
    <row r="1642" ht="14.25" customHeight="1">
      <c r="A1642" s="2" t="s">
        <v>160</v>
      </c>
      <c r="B1642" s="2" t="s">
        <v>18</v>
      </c>
      <c r="C1642" s="2" t="s">
        <v>10</v>
      </c>
      <c r="D1642" s="2">
        <v>0.0</v>
      </c>
      <c r="E1642" s="2">
        <v>0.0</v>
      </c>
      <c r="F1642" s="2">
        <v>0.0</v>
      </c>
      <c r="G1642" s="2">
        <v>0.0</v>
      </c>
      <c r="H1642" s="2">
        <v>0.0</v>
      </c>
    </row>
    <row r="1643" ht="14.25" customHeight="1">
      <c r="C1643" s="2" t="s">
        <v>161</v>
      </c>
      <c r="D1643" s="2">
        <v>536390.66</v>
      </c>
      <c r="E1643" s="2">
        <v>10328.62</v>
      </c>
      <c r="F1643" s="2">
        <v>1.584692904E7</v>
      </c>
      <c r="G1643" s="2">
        <v>7492.47</v>
      </c>
      <c r="H1643" s="2">
        <v>228.64</v>
      </c>
    </row>
  </sheetData>
  <printOptions/>
  <pageMargins bottom="1.0" footer="0.0" header="0.0" left="0.75" right="0.75" top="1.0"/>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